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663" firstSheet="1" activeTab="1"/>
  </bookViews>
  <sheets>
    <sheet name="Relatório de Compatibilidade" sheetId="17" state="hidden" r:id="rId1"/>
    <sheet name="BDI LICITAÇÃO" sheetId="33" r:id="rId2"/>
    <sheet name="PLANILHA LICITAÇÃO" sheetId="32" r:id="rId3"/>
    <sheet name="PLANILHA OFICIAL " sheetId="14" r:id="rId4"/>
    <sheet name="EXPRESSÃO MATEMÁTICA CALC ITENS" sheetId="24" r:id="rId5"/>
    <sheet name="MEMÓRIA DE CÁLCULO" sheetId="31" r:id="rId6"/>
    <sheet name="CRONOGRAMA FÍSICO -  FINANCEIRO" sheetId="26" r:id="rId7"/>
    <sheet name="BDI" sheetId="27" r:id="rId8"/>
    <sheet name="CRONOGRAMA - JANUÁRIA" sheetId="18" state="hidden" r:id="rId9"/>
  </sheets>
  <definedNames>
    <definedName name="_xlnm.Print_Area" localSheetId="7">BDI!$A$1:$D$34</definedName>
    <definedName name="_xlnm.Print_Area" localSheetId="6">'CRONOGRAMA FÍSICO -  FINANCEIRO'!$A$1:$H$29</definedName>
    <definedName name="_xlnm.Print_Area" localSheetId="4">'EXPRESSÃO MATEMÁTICA CALC ITENS'!$A$1:$E$43</definedName>
    <definedName name="_xlnm.Print_Area" localSheetId="5">'MEMÓRIA DE CÁLCULO'!$A$1:$I$159</definedName>
    <definedName name="_xlnm.Print_Area" localSheetId="2">'PLANILHA LICITAÇÃO'!$A$1:$K$44</definedName>
    <definedName name="_xlnm.Print_Area" localSheetId="3">'PLANILHA OFICIAL '!$A$1:$H$50</definedName>
    <definedName name="_xlnm.Print_Titles" localSheetId="8">'CRONOGRAMA - JANUÁRIA'!$A:$C</definedName>
    <definedName name="_xlnm.Print_Titles" localSheetId="4">'EXPRESSÃO MATEMÁTICA CALC ITENS'!$1:$6</definedName>
    <definedName name="_xlnm.Print_Titles" localSheetId="5">'MEMÓRIA DE CÁLCULO'!$1:$5</definedName>
    <definedName name="_xlnm.Print_Titles" localSheetId="3">'PLANILHA OFICIAL '!$1:$13</definedName>
  </definedNames>
  <calcPr calcId="145621"/>
</workbook>
</file>

<file path=xl/calcChain.xml><?xml version="1.0" encoding="utf-8"?>
<calcChain xmlns="http://schemas.openxmlformats.org/spreadsheetml/2006/main">
  <c r="J20" i="32" l="1"/>
  <c r="K20" i="32" s="1"/>
  <c r="I20" i="32"/>
  <c r="H20" i="32"/>
  <c r="G20" i="32"/>
  <c r="F20" i="32"/>
  <c r="B13" i="24"/>
  <c r="H27" i="14"/>
  <c r="I9" i="31"/>
  <c r="H22" i="14"/>
  <c r="G22" i="14"/>
  <c r="E22" i="14"/>
  <c r="G13" i="31"/>
  <c r="B22" i="14"/>
  <c r="B43" i="31" l="1"/>
  <c r="C42" i="31"/>
  <c r="E25" i="14" l="1"/>
  <c r="B21" i="24" l="1"/>
  <c r="B28" i="32"/>
  <c r="K30" i="33" l="1"/>
  <c r="K37" i="33" s="1"/>
  <c r="K19" i="33"/>
  <c r="C36" i="14" l="1"/>
  <c r="C121" i="31" l="1"/>
  <c r="C94" i="31"/>
  <c r="C22" i="31"/>
  <c r="C31" i="31"/>
  <c r="C40" i="31"/>
  <c r="C49" i="31"/>
  <c r="C58" i="31"/>
  <c r="C67" i="31"/>
  <c r="C76" i="31"/>
  <c r="C85" i="31"/>
  <c r="C103" i="31"/>
  <c r="C112" i="31"/>
  <c r="C140" i="31"/>
  <c r="C149" i="31"/>
  <c r="C130" i="31"/>
  <c r="C13" i="31"/>
  <c r="G147" i="31"/>
  <c r="G148" i="31"/>
  <c r="F138" i="31"/>
  <c r="H138" i="31" s="1"/>
  <c r="F139" i="31"/>
  <c r="H139" i="31" s="1"/>
  <c r="F128" i="31"/>
  <c r="G128" i="31" s="1"/>
  <c r="H128" i="31" s="1"/>
  <c r="F129" i="31"/>
  <c r="G129" i="31" s="1"/>
  <c r="H129" i="31" s="1"/>
  <c r="F119" i="31"/>
  <c r="H119" i="31" s="1"/>
  <c r="F120" i="31"/>
  <c r="H120" i="31" s="1"/>
  <c r="F110" i="31"/>
  <c r="H110" i="31" s="1"/>
  <c r="F111" i="31"/>
  <c r="H111" i="31" s="1"/>
  <c r="F101" i="31"/>
  <c r="H101" i="31" s="1"/>
  <c r="F102" i="31"/>
  <c r="H102" i="31" s="1"/>
  <c r="F92" i="31"/>
  <c r="G92" i="31" s="1"/>
  <c r="H92" i="31" s="1"/>
  <c r="F93" i="31"/>
  <c r="G93" i="31" s="1"/>
  <c r="H93" i="31" s="1"/>
  <c r="F83" i="31"/>
  <c r="G83" i="31" s="1"/>
  <c r="H83" i="31" s="1"/>
  <c r="F84" i="31"/>
  <c r="G84" i="31" s="1"/>
  <c r="H84" i="31" s="1"/>
  <c r="F74" i="31"/>
  <c r="F75" i="31"/>
  <c r="F65" i="31"/>
  <c r="G65" i="31" s="1"/>
  <c r="H65" i="31" s="1"/>
  <c r="F66" i="31"/>
  <c r="G66" i="31" s="1"/>
  <c r="H66" i="31" s="1"/>
  <c r="F56" i="31"/>
  <c r="F57" i="31"/>
  <c r="F47" i="31"/>
  <c r="G47" i="31" s="1"/>
  <c r="F48" i="31"/>
  <c r="G48" i="31" s="1"/>
  <c r="F38" i="31"/>
  <c r="G38" i="31" s="1"/>
  <c r="H38" i="31" s="1"/>
  <c r="F39" i="31"/>
  <c r="G39" i="31" s="1"/>
  <c r="H39" i="31" s="1"/>
  <c r="F29" i="31"/>
  <c r="G29" i="31" s="1"/>
  <c r="F30" i="31"/>
  <c r="G30" i="31" s="1"/>
  <c r="F20" i="31"/>
  <c r="F21" i="31"/>
  <c r="F11" i="31"/>
  <c r="G11" i="31" s="1"/>
  <c r="F12" i="31"/>
  <c r="G12" i="31" l="1"/>
  <c r="G119" i="31"/>
  <c r="G120" i="31"/>
  <c r="E18" i="14" l="1"/>
  <c r="F16" i="32" l="1"/>
  <c r="G15" i="32" l="1"/>
  <c r="G16" i="32"/>
  <c r="G36" i="32"/>
  <c r="G35" i="32"/>
  <c r="G34" i="32"/>
  <c r="G33" i="32"/>
  <c r="G32" i="32"/>
  <c r="G31" i="32"/>
  <c r="G30" i="32"/>
  <c r="G29" i="32"/>
  <c r="G28" i="32"/>
  <c r="G27" i="32"/>
  <c r="G24" i="32"/>
  <c r="G23" i="32"/>
  <c r="G22" i="32"/>
  <c r="G21" i="32"/>
  <c r="G39" i="32"/>
  <c r="I39" i="32" l="1"/>
  <c r="I36" i="32"/>
  <c r="I35" i="32"/>
  <c r="I34" i="32"/>
  <c r="I33" i="32"/>
  <c r="I32" i="32"/>
  <c r="I31" i="32"/>
  <c r="I30" i="32"/>
  <c r="I29" i="32"/>
  <c r="I28" i="32"/>
  <c r="I27" i="32"/>
  <c r="I24" i="32"/>
  <c r="I23" i="32"/>
  <c r="I22" i="32"/>
  <c r="I21" i="32"/>
  <c r="I16" i="32"/>
  <c r="I15" i="32"/>
  <c r="F15" i="32"/>
  <c r="E39" i="32"/>
  <c r="E36" i="32"/>
  <c r="E35" i="32"/>
  <c r="E34" i="32"/>
  <c r="E33" i="32"/>
  <c r="E32" i="32"/>
  <c r="E31" i="32"/>
  <c r="E30" i="32"/>
  <c r="E29" i="32"/>
  <c r="E28" i="32"/>
  <c r="E27" i="32"/>
  <c r="E24" i="32"/>
  <c r="E23" i="32"/>
  <c r="E22" i="32"/>
  <c r="E21" i="32"/>
  <c r="D39" i="32"/>
  <c r="B39" i="32"/>
  <c r="D36" i="32"/>
  <c r="D35" i="32"/>
  <c r="D34" i="32"/>
  <c r="D33" i="32"/>
  <c r="D32" i="32"/>
  <c r="D31" i="32"/>
  <c r="D30" i="32"/>
  <c r="D29" i="32"/>
  <c r="D28" i="32"/>
  <c r="D27" i="32"/>
  <c r="B36" i="32"/>
  <c r="B35" i="32"/>
  <c r="B34" i="32"/>
  <c r="B33" i="32"/>
  <c r="B32" i="32"/>
  <c r="B31" i="32"/>
  <c r="B30" i="32"/>
  <c r="B29" i="32"/>
  <c r="B27" i="32"/>
  <c r="D24" i="32"/>
  <c r="D23" i="32"/>
  <c r="D22" i="32"/>
  <c r="D21" i="32"/>
  <c r="B24" i="32"/>
  <c r="B23" i="32"/>
  <c r="B22" i="32"/>
  <c r="B21" i="32"/>
  <c r="E17" i="32"/>
  <c r="E16" i="32"/>
  <c r="D17" i="32"/>
  <c r="D16" i="32"/>
  <c r="B17" i="32"/>
  <c r="B16" i="32"/>
  <c r="E15" i="32"/>
  <c r="D15" i="32"/>
  <c r="B15" i="32"/>
  <c r="G149" i="31" l="1"/>
  <c r="F76" i="31"/>
  <c r="F58" i="31"/>
  <c r="B16" i="31"/>
  <c r="B25" i="31"/>
  <c r="B34" i="31"/>
  <c r="B52" i="31"/>
  <c r="B61" i="31"/>
  <c r="B70" i="31"/>
  <c r="B79" i="31"/>
  <c r="B88" i="31"/>
  <c r="B97" i="31"/>
  <c r="B106" i="31"/>
  <c r="B115" i="31"/>
  <c r="B124" i="31"/>
  <c r="B134" i="31"/>
  <c r="D123" i="31"/>
  <c r="H140" i="31" l="1"/>
  <c r="F140" i="31"/>
  <c r="F130" i="31"/>
  <c r="H121" i="31"/>
  <c r="F121" i="31"/>
  <c r="H112" i="31"/>
  <c r="F112" i="31"/>
  <c r="H103" i="31"/>
  <c r="F103" i="31"/>
  <c r="F94" i="31"/>
  <c r="F85" i="31"/>
  <c r="F67" i="31"/>
  <c r="G49" i="31"/>
  <c r="F49" i="31"/>
  <c r="F40" i="31"/>
  <c r="G31" i="31"/>
  <c r="F31" i="31"/>
  <c r="F22" i="31"/>
  <c r="F13" i="31"/>
  <c r="G121" i="31"/>
  <c r="D133" i="31"/>
  <c r="H130" i="31" l="1"/>
  <c r="G130" i="31"/>
  <c r="H94" i="31"/>
  <c r="G94" i="31"/>
  <c r="H85" i="31"/>
  <c r="G85" i="31"/>
  <c r="H67" i="31"/>
  <c r="G67" i="31"/>
  <c r="H40" i="31"/>
  <c r="G40" i="31"/>
  <c r="B32" i="24"/>
  <c r="C32" i="24"/>
  <c r="C29" i="24"/>
  <c r="C28" i="24"/>
  <c r="C27" i="24"/>
  <c r="C26" i="24"/>
  <c r="C25" i="24"/>
  <c r="C24" i="24"/>
  <c r="C23" i="24"/>
  <c r="C22" i="24"/>
  <c r="C21" i="24"/>
  <c r="C20" i="24"/>
  <c r="B29" i="24"/>
  <c r="B28" i="24"/>
  <c r="B27" i="24"/>
  <c r="B26" i="24"/>
  <c r="B25" i="24"/>
  <c r="B24" i="24"/>
  <c r="B23" i="24"/>
  <c r="B22" i="24"/>
  <c r="B20" i="24"/>
  <c r="C17" i="24"/>
  <c r="C16" i="24"/>
  <c r="C15" i="24"/>
  <c r="C14" i="24"/>
  <c r="B17" i="24"/>
  <c r="B16" i="24"/>
  <c r="B15" i="24"/>
  <c r="B14" i="24"/>
  <c r="C10" i="24"/>
  <c r="C9" i="24"/>
  <c r="C8" i="24"/>
  <c r="B10" i="24"/>
  <c r="B9" i="24"/>
  <c r="B8" i="24"/>
  <c r="D19" i="27" l="1"/>
  <c r="E26" i="14" l="1"/>
  <c r="F24" i="32" s="1"/>
  <c r="E41" i="14"/>
  <c r="F39" i="32" s="1"/>
  <c r="E24" i="14" l="1"/>
  <c r="F22" i="32" s="1"/>
  <c r="E29" i="14"/>
  <c r="F27" i="32" s="1"/>
  <c r="E23" i="14"/>
  <c r="F21" i="32" s="1"/>
  <c r="E31" i="14"/>
  <c r="F29" i="32" s="1"/>
  <c r="E38" i="14"/>
  <c r="F36" i="32" s="1"/>
  <c r="E33" i="14" l="1"/>
  <c r="E34" i="14"/>
  <c r="F32" i="32" s="1"/>
  <c r="E35" i="14"/>
  <c r="F33" i="32" s="1"/>
  <c r="F23" i="32" l="1"/>
  <c r="E37" i="14"/>
  <c r="F35" i="32" s="1"/>
  <c r="F31" i="32"/>
  <c r="E30" i="14"/>
  <c r="F28" i="32" s="1"/>
  <c r="E36" i="14"/>
  <c r="F34" i="32" s="1"/>
  <c r="E32" i="14"/>
  <c r="F30" i="32" s="1"/>
  <c r="D26" i="27" l="1"/>
  <c r="D8" i="27"/>
  <c r="B3" i="31" l="1"/>
  <c r="G5" i="32"/>
  <c r="B3" i="24"/>
  <c r="H39" i="32" l="1"/>
  <c r="J39" i="32" s="1"/>
  <c r="K39" i="32" s="1"/>
  <c r="H24" i="32"/>
  <c r="J24" i="32" s="1"/>
  <c r="K24" i="32" s="1"/>
  <c r="H23" i="32"/>
  <c r="J23" i="32" s="1"/>
  <c r="K23" i="32" s="1"/>
  <c r="H15" i="32"/>
  <c r="J15" i="32" s="1"/>
  <c r="K15" i="32" s="1"/>
  <c r="H33" i="32"/>
  <c r="J33" i="32" s="1"/>
  <c r="K33" i="32" s="1"/>
  <c r="H17" i="32"/>
  <c r="H16" i="32"/>
  <c r="J16" i="32" s="1"/>
  <c r="K16" i="32" s="1"/>
  <c r="H34" i="32"/>
  <c r="J34" i="32" s="1"/>
  <c r="K34" i="32" s="1"/>
  <c r="H27" i="32"/>
  <c r="J27" i="32" s="1"/>
  <c r="K27" i="32" s="1"/>
  <c r="H28" i="32"/>
  <c r="J28" i="32" s="1"/>
  <c r="K28" i="32" s="1"/>
  <c r="H35" i="32"/>
  <c r="J35" i="32" s="1"/>
  <c r="K35" i="32" s="1"/>
  <c r="H29" i="32"/>
  <c r="J29" i="32" s="1"/>
  <c r="K29" i="32" s="1"/>
  <c r="H36" i="32"/>
  <c r="J36" i="32" s="1"/>
  <c r="K36" i="32" s="1"/>
  <c r="H30" i="32"/>
  <c r="J30" i="32" s="1"/>
  <c r="K30" i="32" s="1"/>
  <c r="H22" i="32"/>
  <c r="J22" i="32" s="1"/>
  <c r="K22" i="32" s="1"/>
  <c r="H31" i="32"/>
  <c r="J31" i="32" s="1"/>
  <c r="K31" i="32" s="1"/>
  <c r="H32" i="32"/>
  <c r="J32" i="32" s="1"/>
  <c r="K32" i="32" s="1"/>
  <c r="H21" i="32"/>
  <c r="J21" i="32" s="1"/>
  <c r="K21" i="32" s="1"/>
  <c r="G37" i="14"/>
  <c r="G31" i="14"/>
  <c r="I72" i="31" s="1"/>
  <c r="G26" i="14"/>
  <c r="H26" i="14" s="1"/>
  <c r="G41" i="14"/>
  <c r="G38" i="14"/>
  <c r="I136" i="31" s="1"/>
  <c r="G36" i="14"/>
  <c r="I117" i="31" s="1"/>
  <c r="G35" i="14"/>
  <c r="I108" i="31" s="1"/>
  <c r="G34" i="14"/>
  <c r="I99" i="31" s="1"/>
  <c r="G33" i="14"/>
  <c r="I90" i="31" s="1"/>
  <c r="G32" i="14"/>
  <c r="I81" i="31" s="1"/>
  <c r="G30" i="14"/>
  <c r="I63" i="31" s="1"/>
  <c r="G29" i="14"/>
  <c r="I54" i="31" s="1"/>
  <c r="G25" i="14"/>
  <c r="I36" i="31" s="1"/>
  <c r="G24" i="14"/>
  <c r="I27" i="31" s="1"/>
  <c r="G23" i="14"/>
  <c r="I18" i="31" s="1"/>
  <c r="G18" i="14"/>
  <c r="H18" i="14" s="1"/>
  <c r="G17" i="14"/>
  <c r="H17" i="14" s="1"/>
  <c r="C15" i="26"/>
  <c r="C13" i="26"/>
  <c r="C11" i="26"/>
  <c r="C9" i="26"/>
  <c r="I119" i="31" l="1"/>
  <c r="I120" i="31"/>
  <c r="I93" i="31"/>
  <c r="I92" i="31"/>
  <c r="I110" i="31"/>
  <c r="I111" i="31"/>
  <c r="I138" i="31"/>
  <c r="I139" i="31"/>
  <c r="I74" i="31"/>
  <c r="I75" i="31"/>
  <c r="I56" i="31"/>
  <c r="I57" i="31"/>
  <c r="I12" i="31"/>
  <c r="I11" i="31"/>
  <c r="I13" i="31" s="1"/>
  <c r="I20" i="31"/>
  <c r="I21" i="31"/>
  <c r="I29" i="31"/>
  <c r="I30" i="31"/>
  <c r="I38" i="31"/>
  <c r="I39" i="31"/>
  <c r="I65" i="31"/>
  <c r="I66" i="31"/>
  <c r="I102" i="31"/>
  <c r="I101" i="31"/>
  <c r="I84" i="31"/>
  <c r="I83" i="31"/>
  <c r="I145" i="31"/>
  <c r="H41" i="14"/>
  <c r="H42" i="14" s="1"/>
  <c r="H37" i="14"/>
  <c r="I126" i="31"/>
  <c r="A10" i="18"/>
  <c r="I103" i="31" l="1"/>
  <c r="I94" i="31"/>
  <c r="I140" i="31"/>
  <c r="I22" i="31"/>
  <c r="I128" i="31"/>
  <c r="I129" i="31"/>
  <c r="I40" i="31"/>
  <c r="I112" i="31"/>
  <c r="I58" i="31"/>
  <c r="I147" i="31"/>
  <c r="I148" i="31"/>
  <c r="I31" i="31"/>
  <c r="I121" i="31"/>
  <c r="I67" i="31"/>
  <c r="I85" i="31"/>
  <c r="I76" i="31"/>
  <c r="E16" i="26"/>
  <c r="H36" i="14"/>
  <c r="H23" i="14"/>
  <c r="H31" i="14"/>
  <c r="H29" i="14"/>
  <c r="H35" i="14"/>
  <c r="H34" i="14"/>
  <c r="I149" i="31" l="1"/>
  <c r="I130" i="31"/>
  <c r="H38" i="14"/>
  <c r="H25" i="14"/>
  <c r="H32" i="14"/>
  <c r="C9" i="18"/>
  <c r="H30" i="14"/>
  <c r="H24" i="14" l="1"/>
  <c r="H33" i="14" l="1"/>
  <c r="H39" i="14" s="1"/>
  <c r="F19" i="14" l="1"/>
  <c r="E12" i="26"/>
  <c r="G17" i="32"/>
  <c r="G12" i="26"/>
  <c r="F12" i="26"/>
  <c r="G19" i="14" l="1"/>
  <c r="H19" i="14" s="1"/>
  <c r="E14" i="26"/>
  <c r="F14" i="26" l="1"/>
  <c r="G14" i="26"/>
  <c r="C10" i="18" l="1"/>
  <c r="D10" i="18" s="1"/>
  <c r="C12" i="18"/>
  <c r="C11" i="18"/>
  <c r="E10" i="18" l="1"/>
  <c r="F10" i="18" s="1"/>
  <c r="G10" i="18" s="1"/>
  <c r="H10" i="18" s="1"/>
  <c r="I10" i="18"/>
  <c r="P10" i="18" l="1"/>
  <c r="J12" i="18"/>
  <c r="H12" i="18"/>
  <c r="E12" i="18"/>
  <c r="I12" i="18"/>
  <c r="K12" i="18" s="1"/>
  <c r="L12" i="18" s="1"/>
  <c r="M12" i="18" s="1"/>
  <c r="N12" i="18" s="1"/>
  <c r="O12" i="18" s="1"/>
  <c r="F12" i="18" l="1"/>
  <c r="G12" i="18" s="1"/>
  <c r="H11" i="18"/>
  <c r="I11" i="18"/>
  <c r="J11" i="18" s="1"/>
  <c r="K11" i="18" s="1"/>
  <c r="L11" i="18"/>
  <c r="E11" i="18"/>
  <c r="F11" i="18" l="1"/>
  <c r="G11" i="18" s="1"/>
  <c r="P12" i="18"/>
  <c r="D9" i="18" l="1"/>
  <c r="P11" i="18"/>
  <c r="C13" i="18" l="1"/>
  <c r="B9" i="18" s="1"/>
  <c r="D13" i="18"/>
  <c r="E9" i="18"/>
  <c r="B11" i="18" l="1"/>
  <c r="C14" i="18"/>
  <c r="B14" i="18" s="1"/>
  <c r="B12" i="18"/>
  <c r="B10" i="18"/>
  <c r="B13" i="18"/>
  <c r="F9" i="18"/>
  <c r="F13" i="18" s="1"/>
  <c r="E13" i="18"/>
  <c r="E15" i="18" s="1"/>
  <c r="D14" i="18"/>
  <c r="D15" i="18"/>
  <c r="D16" i="18" s="1"/>
  <c r="E16" i="18" l="1"/>
  <c r="G9" i="18"/>
  <c r="E14" i="18"/>
  <c r="F14" i="18" l="1"/>
  <c r="H9" i="18"/>
  <c r="G13" i="18"/>
  <c r="G15" i="18" s="1"/>
  <c r="F15" i="18"/>
  <c r="F16" i="18" s="1"/>
  <c r="G16" i="18" l="1"/>
  <c r="G14" i="18"/>
  <c r="I9" i="18"/>
  <c r="H13" i="18"/>
  <c r="H15" i="18" s="1"/>
  <c r="H16" i="18" l="1"/>
  <c r="H14" i="18"/>
  <c r="J9" i="18"/>
  <c r="I13" i="18"/>
  <c r="I15" i="18" l="1"/>
  <c r="I16" i="18" s="1"/>
  <c r="K9" i="18"/>
  <c r="J13" i="18"/>
  <c r="J15" i="18" s="1"/>
  <c r="I14" i="18"/>
  <c r="J16" i="18" l="1"/>
  <c r="J14" i="18"/>
  <c r="L9" i="18"/>
  <c r="K13" i="18"/>
  <c r="K15" i="18" s="1"/>
  <c r="K16" i="18" l="1"/>
  <c r="K14" i="18"/>
  <c r="M9" i="18"/>
  <c r="L13" i="18"/>
  <c r="L15" i="18" s="1"/>
  <c r="L16" i="18" l="1"/>
  <c r="L14" i="18"/>
  <c r="N9" i="18"/>
  <c r="M13" i="18"/>
  <c r="M15" i="18" s="1"/>
  <c r="M16" i="18" l="1"/>
  <c r="M14" i="18"/>
  <c r="O9" i="18"/>
  <c r="N13" i="18"/>
  <c r="N15" i="18" s="1"/>
  <c r="N16" i="18" l="1"/>
  <c r="N14" i="18"/>
  <c r="O13" i="18"/>
  <c r="P9" i="18"/>
  <c r="P13" i="18" l="1"/>
  <c r="O15" i="18"/>
  <c r="O16" i="18" s="1"/>
  <c r="O14" i="18"/>
  <c r="F16" i="26"/>
  <c r="G16" i="26"/>
  <c r="G18" i="26" s="1"/>
  <c r="H20" i="14" l="1"/>
  <c r="H43" i="14" s="1"/>
  <c r="F6" i="26" l="1"/>
  <c r="H14" i="14"/>
  <c r="E10" i="26"/>
  <c r="E18" i="26" s="1"/>
  <c r="J19" i="14" l="1"/>
  <c r="F10" i="26"/>
  <c r="F18" i="26" s="1"/>
  <c r="G10" i="26"/>
  <c r="E15" i="26" l="1"/>
  <c r="E11" i="26"/>
  <c r="E13" i="26"/>
  <c r="E9" i="26"/>
  <c r="G17" i="26"/>
  <c r="F17" i="26"/>
  <c r="F20" i="26"/>
  <c r="G20" i="26"/>
  <c r="E17" i="26" l="1"/>
  <c r="G19" i="26"/>
  <c r="F19" i="26"/>
  <c r="I17" i="32"/>
  <c r="J17" i="32"/>
  <c r="K17" i="32" l="1"/>
  <c r="K12" i="32" s="1"/>
</calcChain>
</file>

<file path=xl/comments1.xml><?xml version="1.0" encoding="utf-8"?>
<comments xmlns="http://schemas.openxmlformats.org/spreadsheetml/2006/main">
  <authors>
    <author>RAFAEL MARUCH DE CARVALHO</author>
  </authors>
  <commentList>
    <comment ref="G5" authorId="0">
      <text>
        <r>
          <rPr>
            <b/>
            <sz val="9"/>
            <color indexed="81"/>
            <rFont val="Segoe UI"/>
            <family val="2"/>
          </rPr>
          <t>Preenchimento Automático - Aba "Detalhamento do BDI"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Segoe UI"/>
            <family val="2"/>
          </rPr>
          <t>Preencher caso exista BDI diferenciado para equipamentos, por exemplo.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SIM ou NÃO</t>
        </r>
      </text>
    </comment>
  </commentList>
</comments>
</file>

<file path=xl/sharedStrings.xml><?xml version="1.0" encoding="utf-8"?>
<sst xmlns="http://schemas.openxmlformats.org/spreadsheetml/2006/main" count="844" uniqueCount="311">
  <si>
    <t>M2</t>
  </si>
  <si>
    <t>TERRAPLENAGEM</t>
  </si>
  <si>
    <t>M3</t>
  </si>
  <si>
    <t>m</t>
  </si>
  <si>
    <t>m3</t>
  </si>
  <si>
    <t>1.1</t>
  </si>
  <si>
    <t>1.2</t>
  </si>
  <si>
    <t>m²</t>
  </si>
  <si>
    <t>m³</t>
  </si>
  <si>
    <t>PAVIMENTAÇÃO</t>
  </si>
  <si>
    <t>3.1</t>
  </si>
  <si>
    <t>3.2</t>
  </si>
  <si>
    <t>4.1</t>
  </si>
  <si>
    <t>Largura</t>
  </si>
  <si>
    <t>TOTAL</t>
  </si>
  <si>
    <t>Relatório de Compatibilidade para PLANILHA OFICIAL DE MEDIÇÃO CEF.xls</t>
  </si>
  <si>
    <t>Executar em 22/5/2012 19:18</t>
  </si>
  <si>
    <t>Não há suporte para os recursos a seguir nas versões anteriores do Excel. Esses recursos poderão ser perdidos ou prejudicados quando você salvar a pasta de trabalho em um formato de arquivo anterior.</t>
  </si>
  <si>
    <t>Perda insignificante de fidelidade</t>
  </si>
  <si>
    <t>Núm. de ocorrências</t>
  </si>
  <si>
    <t>Algumas células ou alguns estilos desta pasta de trabalho contêm formatação para a qual não há suporte no formato de arquivo selecionado. Esses formatos serão convertidos no formato mais próximo disponível.</t>
  </si>
  <si>
    <t>ton</t>
  </si>
  <si>
    <t>PERÍODO - ETAPAS</t>
  </si>
  <si>
    <t>DESCRIÇÃO - SERVIÇOS</t>
  </si>
  <si>
    <t>FÍSICO</t>
  </si>
  <si>
    <t>FINANCEIRO</t>
  </si>
  <si>
    <t>1º MÊS</t>
  </si>
  <si>
    <t>2º MÊS</t>
  </si>
  <si>
    <t>3º MÊS</t>
  </si>
  <si>
    <t>4º MÊS</t>
  </si>
  <si>
    <t>5º MÊS</t>
  </si>
  <si>
    <t>SOMA (R$)</t>
  </si>
  <si>
    <t>SOMA ACUMULADA</t>
  </si>
  <si>
    <t>PORCENTAGEM</t>
  </si>
  <si>
    <t>PORCENTAGEM ACUMULADA</t>
  </si>
  <si>
    <t>Serviço</t>
  </si>
  <si>
    <t>m3 x km</t>
  </si>
  <si>
    <t>m³xkm</t>
  </si>
  <si>
    <t>ITEM</t>
  </si>
  <si>
    <t>UNIDADE</t>
  </si>
  <si>
    <t>Logradouro</t>
  </si>
  <si>
    <t>Compr.</t>
  </si>
  <si>
    <t>Espessura</t>
  </si>
  <si>
    <t>Área</t>
  </si>
  <si>
    <t>Volume</t>
  </si>
  <si>
    <t>DMT</t>
  </si>
  <si>
    <t>V. Unit.       Total</t>
  </si>
  <si>
    <t>(Unidade)</t>
  </si>
  <si>
    <t>km</t>
  </si>
  <si>
    <t>Total</t>
  </si>
  <si>
    <t>Taxa</t>
  </si>
  <si>
    <t>Peso</t>
  </si>
  <si>
    <t>M3 x KM</t>
  </si>
  <si>
    <t>Transp</t>
  </si>
  <si>
    <t>porc / m³</t>
  </si>
  <si>
    <t>M</t>
  </si>
  <si>
    <t>Comprim.  Rua</t>
  </si>
  <si>
    <t>Interseç.</t>
  </si>
  <si>
    <t>Qtde total meio fio</t>
  </si>
  <si>
    <t>Largura inters.</t>
  </si>
  <si>
    <t>UNID.</t>
  </si>
  <si>
    <t>6º MÊS</t>
  </si>
  <si>
    <t>ÁREA TOTAL</t>
  </si>
  <si>
    <t>PREFEITURA MUNICIPAL DE JANUÁRIA</t>
  </si>
  <si>
    <t>7º MÊS</t>
  </si>
  <si>
    <t>8º MÊS</t>
  </si>
  <si>
    <t>9º MÊS</t>
  </si>
  <si>
    <t>10º MÊS</t>
  </si>
  <si>
    <t>11º MÊS</t>
  </si>
  <si>
    <t>12º MÊS</t>
  </si>
  <si>
    <t>CÓDIGO</t>
  </si>
  <si>
    <t>DESCRIÇÃO</t>
  </si>
  <si>
    <t>FÓRMULAS</t>
  </si>
  <si>
    <t>M3XKM</t>
  </si>
  <si>
    <t>EXECUÇÃO DE IMPRIMAÇÃO COM MATERIAL BETUMINOSO, INCLUINDO FORNECIMENTO E TRANSPORTE DO MATERIAL DENTRO DO CANTEIRO DE OBRAS, EXCLUSIVE TRANSPORTE DO MATERIAL BETUMINOSO ATÉ A USINA</t>
  </si>
  <si>
    <t>EXECUÇÃO DE PINTURA DE LIGAÇÃO COM MATERIAL BETUMINOSO, INCLUINDO FORNECIMENTO E TRANSPORTE DO MATERIAL DENTRO DO CANTEIRO DE OBRAS, EXCLUSIVE TRANSPORTE DO MATERIAL BETUMINOSO ATÉ A USINA</t>
  </si>
  <si>
    <t>QTDE.</t>
  </si>
  <si>
    <t xml:space="preserve">PREÇO UNITÁRIO </t>
  </si>
  <si>
    <t>PREÇO TOTAL</t>
  </si>
  <si>
    <t>INSTALAÇÕES INICIAIS DA OBRA</t>
  </si>
  <si>
    <t>PT</t>
  </si>
  <si>
    <t>VB</t>
  </si>
  <si>
    <t>REGULARIZAÇÃO DO SUBLEITO COM PROCTOR INTERMEDIÁRIO</t>
  </si>
  <si>
    <t>TXKM</t>
  </si>
  <si>
    <t>TOTAL GERAL DA OBRA………………………………………………………………………..………………………………………………………………………………………………………</t>
  </si>
  <si>
    <t>SETOP</t>
  </si>
  <si>
    <t>EXECUÇÃO DE BASE DE SOLO ESTABILIZADO GRANUL. SEM MISTURA COM PROCTOR INTERMEDIÁRIO, INCLUINDO ESCAVAÇÃO, CARGA, DESCARGA, ESPALHAMENTO E COMPACTAÇÃO DO MATERIAL,       ESP = 15,00 CM, EXCLUSIVE AQUISIÇÃO E TRANSPORTE DO MATERIAL (RECOMPOSIÇÃO DA BASE ANTIGA)</t>
  </si>
  <si>
    <t>Transporte</t>
  </si>
  <si>
    <t>TON X KM</t>
  </si>
  <si>
    <t>ton x km</t>
  </si>
  <si>
    <t>litro / m²</t>
  </si>
  <si>
    <t>porc / ton</t>
  </si>
  <si>
    <t>OBRA: PAVIMENTAÇÃO DISTRITO DE RIACHO DA CRUZ</t>
  </si>
  <si>
    <t>DATA DO ORÇAMENTO: 02/04/2013</t>
  </si>
  <si>
    <t>BDI =  30,00 %</t>
  </si>
  <si>
    <t>SETOP - DEZEMBRO 2012</t>
  </si>
  <si>
    <t>ÁREA TOTAL X ESPESSURA (15 CM)</t>
  </si>
  <si>
    <t>COMPRIMENTO X LARGURA</t>
  </si>
  <si>
    <t>COMPRIMENTO DA PISTA / DIST ENTRE PONTOS (20 M)</t>
  </si>
  <si>
    <t>MEIO FIO E SARJETA</t>
  </si>
  <si>
    <t>CRONOGRAMA FÍSICO-FINANCEIRO</t>
  </si>
  <si>
    <t>ETAPAS/DESCRIÇÃO</t>
  </si>
  <si>
    <t>FÍSICO/ FINANCEIRO</t>
  </si>
  <si>
    <t>TOTAL  ETAPAS</t>
  </si>
  <si>
    <t>MÊS 1</t>
  </si>
  <si>
    <t>MÊS 2</t>
  </si>
  <si>
    <t>IIO-001</t>
  </si>
  <si>
    <t>Físico %</t>
  </si>
  <si>
    <t>Financeiro</t>
  </si>
  <si>
    <t>OBR-001</t>
  </si>
  <si>
    <t>DRE-001</t>
  </si>
  <si>
    <t xml:space="preserve"> </t>
  </si>
  <si>
    <t>TER-001</t>
  </si>
  <si>
    <t>DRENAGEM</t>
  </si>
  <si>
    <t>FOLHA Nº: 01/01</t>
  </si>
  <si>
    <t xml:space="preserve">FORMA DE EXECUÇÃO: </t>
  </si>
  <si>
    <t>(    )</t>
  </si>
  <si>
    <t>DIRETA</t>
  </si>
  <si>
    <t>(  x  )</t>
  </si>
  <si>
    <t>INDIRETA</t>
  </si>
  <si>
    <t xml:space="preserve">                               CREA</t>
  </si>
  <si>
    <t>2.1</t>
  </si>
  <si>
    <t>2.2</t>
  </si>
  <si>
    <t>2.3</t>
  </si>
  <si>
    <t>2.4</t>
  </si>
  <si>
    <t>2 X COMPRIMENTO DA AVENIDA - INTERSEÇÕES</t>
  </si>
  <si>
    <t>SUB-TOTAL</t>
  </si>
  <si>
    <t>PREFEITURA MUNICIPAL DE MONTALVÂNIA</t>
  </si>
  <si>
    <t>MEMÓRIA DE CÁLCULO</t>
  </si>
  <si>
    <t>PESO DE CBUQ X DMT (260 KM)</t>
  </si>
  <si>
    <t>PREFEITURA: PREFEITURA MUNICIPAL DE MONTALVÂNIA</t>
  </si>
  <si>
    <t>ENGENHEIRO CIVIL</t>
  </si>
  <si>
    <t>PREFEITO MUNICIPAL</t>
  </si>
  <si>
    <t>%</t>
  </si>
  <si>
    <t>TRANSPORTE DE QUALQUER NATUREZA DMT ACIMA DE 40 KM  (RR-1C)  BELO HORIZONTE  - MONTALVÂNIA - DMT = 770 km</t>
  </si>
  <si>
    <t>ÁREA TOTAL  X % DE CM-30 (120%) X DMT (770 KM)/1000</t>
  </si>
  <si>
    <t>ÁREA TOTAL X ESPESSURA (15 CM) X DMT (10 KM)</t>
  </si>
  <si>
    <t>VALOR TOTAL DA OBRA X PORCENTAGEM (2,0%)</t>
  </si>
  <si>
    <t>COMPOSIÇÃO DA TAXA DE BENEFÍCIOS E DESPESAS INDIRETAS</t>
  </si>
  <si>
    <t>Grupo</t>
  </si>
  <si>
    <t>A</t>
  </si>
  <si>
    <t>Despesas indiretas</t>
  </si>
  <si>
    <t>A.1</t>
  </si>
  <si>
    <t>Administração central</t>
  </si>
  <si>
    <t>A.2</t>
  </si>
  <si>
    <t>Garantia</t>
  </si>
  <si>
    <t>A.3</t>
  </si>
  <si>
    <t>Risco</t>
  </si>
  <si>
    <t>Total do grupo A</t>
  </si>
  <si>
    <t>B</t>
  </si>
  <si>
    <t>Bonificação</t>
  </si>
  <si>
    <t>B.1</t>
  </si>
  <si>
    <t>Lucro</t>
  </si>
  <si>
    <t>Total do grupo B</t>
  </si>
  <si>
    <t>C</t>
  </si>
  <si>
    <t>Impostos</t>
  </si>
  <si>
    <t>C.1</t>
  </si>
  <si>
    <t>PIS</t>
  </si>
  <si>
    <t>C.2</t>
  </si>
  <si>
    <t>COFINS</t>
  </si>
  <si>
    <t>C.3</t>
  </si>
  <si>
    <t>ISSQN (Prefeitura de Montalvânia)*</t>
  </si>
  <si>
    <t>Total do grupo C</t>
  </si>
  <si>
    <t>D</t>
  </si>
  <si>
    <t>Despesas Financeiras (F)</t>
  </si>
  <si>
    <t>Total do grupo D</t>
  </si>
  <si>
    <t>Fórmula para o cálculo do B.D.I. ( benefícios e despesas indiretas )</t>
  </si>
  <si>
    <r>
      <t xml:space="preserve">BDI = BDI (%) = </t>
    </r>
    <r>
      <rPr>
        <u/>
        <sz val="12"/>
        <rFont val="Arial"/>
        <family val="2"/>
      </rPr>
      <t>(1+AC+G+R) x (1+DF) x (1+L) - 1  x 100</t>
    </r>
  </si>
  <si>
    <t>_______________________________</t>
  </si>
  <si>
    <t>Engenheiro Civil</t>
  </si>
  <si>
    <t xml:space="preserve">BDI: </t>
  </si>
  <si>
    <t>EXECUÇÃO DE PRÉ MISTURADO A FRIO (PMF) COM MATERIAL BETUMINOSO, INCLUINDO FORNECIMENTO DOS AGREGADOS E TRANSPORTE DO MATERIAL BETUMINOSO DENTRO DO CANTEIRO DE OBRAS, EXCLUSIVE TRANSPORTE DO MATERIAL BETUMINOSO E AGREGADOS ATÉ A USINA</t>
  </si>
  <si>
    <t>TRANSPORTE DE PMF PARA O LOCAL DA OBRA - 2KM</t>
  </si>
  <si>
    <t>C.4</t>
  </si>
  <si>
    <t xml:space="preserve">                               (1- (I+INSS))</t>
  </si>
  <si>
    <t>INSS</t>
  </si>
  <si>
    <t>ASFALTAMENTO EM PMF</t>
  </si>
  <si>
    <t>ÁREA RR 1C  X % DE RR-1C (60%) X DMT (770 KM)/1000</t>
  </si>
  <si>
    <t>ÁREA RR 1C = ÁREA TOTAL  - ÁREA DE MEIO FIO E SARJETA</t>
  </si>
  <si>
    <t>PAVIMENTAÇÃO ASFÁLTICA EM PMF</t>
  </si>
  <si>
    <t>M3 X KM</t>
  </si>
  <si>
    <t>VOL PMF X % AREIA POR M³ (19,30 %) X DMT (250 KM)</t>
  </si>
  <si>
    <t>VOL PMF X % BRITA POR M³ (116,7 %) X DMT (345 KM)</t>
  </si>
  <si>
    <t xml:space="preserve">PESO PMF X % CAP-20 (17,0%) X DMT (770 KM) </t>
  </si>
  <si>
    <t>ÁREA TOTAL - ÁREA DAS SARJETAS</t>
  </si>
  <si>
    <t>2.5</t>
  </si>
  <si>
    <t>TRANSPORTE DE MATERIAL DE JAZIDA, DMT DE 0 A 10 KM - DMT = 10 KM</t>
  </si>
  <si>
    <t>m³ x km</t>
  </si>
  <si>
    <t>FREDSON LOPES FRANÇA</t>
  </si>
  <si>
    <t>3.3</t>
  </si>
  <si>
    <t>3.4</t>
  </si>
  <si>
    <t>3.5</t>
  </si>
  <si>
    <t>3.6</t>
  </si>
  <si>
    <t>3.7</t>
  </si>
  <si>
    <t>3.8</t>
  </si>
  <si>
    <t>3.9</t>
  </si>
  <si>
    <t>BDI</t>
  </si>
  <si>
    <t>SEM BDI</t>
  </si>
  <si>
    <t>COM BDI</t>
  </si>
  <si>
    <t>1.3</t>
  </si>
  <si>
    <t xml:space="preserve">VALOR : </t>
  </si>
  <si>
    <t>TOTAL ACUMULADO</t>
  </si>
  <si>
    <t>TRANSPORTE DE AGREGADOS, DMT ACIMA DE 50 KM (AREIA) - MANGA A MONTALVÂNIA 67,2KM</t>
  </si>
  <si>
    <t>FELIPE MATHEUS LOPES DOS ANJOS</t>
  </si>
  <si>
    <t>CREA MG 295973</t>
  </si>
  <si>
    <t>ED-50392</t>
  </si>
  <si>
    <t>MOBILIZAÇÃO E DESMOBILIZAÇÃO DE OBRA EM CENTRO URBANO
OU REGIÃO LIMÍTROFE COM VALOR ATÉ O VALOR DE 1.000.000,00</t>
  </si>
  <si>
    <t>ED-28427</t>
  </si>
  <si>
    <t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t>
  </si>
  <si>
    <t>RO-51228</t>
  </si>
  <si>
    <t>Imprimação (Execução e fornecimento do material betuminoso, exclusive
transporte do material betuminoso)</t>
  </si>
  <si>
    <t>RO-14021</t>
  </si>
  <si>
    <t>Pré-misturado a frio - PMF (Execução, incluindo usinagem, aplicação,
espalhamento e compactação, fornecimento dos agregados e material
betuminoso, exclui transporte dos agregados e do material betuminoso
até usina e da massa pronta até a pista)</t>
  </si>
  <si>
    <t>ED-48664</t>
  </si>
  <si>
    <t>GUIA DE MEIO-FIO (10X15X22)CM E SARJETA (30X10)CM COM
INCLINAÇÃO DE 10%, EM CONCRETO COM FCK 15MPA, MOLDADA
IN-LOCO, FORMA EM MADEIRA, INCLUSIVE ESCAVAÇÃO,
APILOAMENTO E TRANSPORTE COM RETIRADA DO MATERIAL
ESCAVADO (EM CAÇAMBA)</t>
  </si>
  <si>
    <t>3.10</t>
  </si>
  <si>
    <t>M³</t>
  </si>
  <si>
    <t>ED-29235</t>
  </si>
  <si>
    <t>ED-51132</t>
  </si>
  <si>
    <t>CARGA MECÂNICA DE MATERIAL DE QUALQUER NATUREZA
SOBRE CAMINHÃO, EXCLUSIVE TRANSPORTE (PMF)</t>
  </si>
  <si>
    <t>TRANSPORTE DE AGREGADOS, DMT ACIMA DE 50 KM (BRITA) - JANAÚBA A MONTALVÂNIA 210KM</t>
  </si>
  <si>
    <t>OBRA: PAVIMENTAÇÃO ASFÁLTICA EM PMF - DIVERSOS LOGRADOUROS</t>
  </si>
  <si>
    <t>ED-50274</t>
  </si>
  <si>
    <t>LOCAÇÃO TOPOGRÁFICA PARA ATÉ VINTE (20) PONTOS
REFERENCIAIS, INCLUSIVE ESTACA (PIQUETE) DE MARCAÇÃO</t>
  </si>
  <si>
    <t>PRAZO DE EXECUÇÃO: 02 Meses</t>
  </si>
  <si>
    <t xml:space="preserve">PLANILHA ORÇAMENTÁRIA DE CUSTOS </t>
  </si>
  <si>
    <t>ENGENHEIRA CIVIL</t>
  </si>
  <si>
    <t>DATA DO ORÇAMENTO: 24/10/2023</t>
  </si>
  <si>
    <t>SETOP - ABRIL/2023 E SINAPI JUNHO/2023</t>
  </si>
  <si>
    <t>PLANILHA ORÇAMENTÁRIA</t>
  </si>
  <si>
    <t>LICITAÇÃO Nº</t>
  </si>
  <si>
    <t>EDITAL Nº</t>
  </si>
  <si>
    <t>ÓRGÃO</t>
  </si>
  <si>
    <t>DATA</t>
  </si>
  <si>
    <t>OBJETO</t>
  </si>
  <si>
    <t>LOTE</t>
  </si>
  <si>
    <t>MODALIDADE</t>
  </si>
  <si>
    <t>REGIME DE EXECUÇÃO</t>
  </si>
  <si>
    <t>CIDADE</t>
  </si>
  <si>
    <t>MONTALVÂNIA</t>
  </si>
  <si>
    <t>UF</t>
  </si>
  <si>
    <t>MG</t>
  </si>
  <si>
    <t>DATA BASE DO ORÇAMENTO</t>
  </si>
  <si>
    <t>DESONERAÇÃO</t>
  </si>
  <si>
    <t>ENCARGOS SOCIAIS - HORISTAS (%)</t>
  </si>
  <si>
    <t>BDI 1</t>
  </si>
  <si>
    <t>BDI 2</t>
  </si>
  <si>
    <t>Sim</t>
  </si>
  <si>
    <t>ENCARGOS SOCIAIS - MENSALISTAS (%)</t>
  </si>
  <si>
    <t>LEGENDA</t>
  </si>
  <si>
    <t>PREENCHIMENTO OBRIGATÓRIO</t>
  </si>
  <si>
    <t>PREENCHIIMENTO FACULTATIVO</t>
  </si>
  <si>
    <t>PREENCHIMENTO AUTOMÁTICO</t>
  </si>
  <si>
    <t>TIPO DE VALOR</t>
  </si>
  <si>
    <t>TOTAL GERAL</t>
  </si>
  <si>
    <t>CUSTO (SEM BDI)</t>
  </si>
  <si>
    <t>REFERÊNCIA</t>
  </si>
  <si>
    <t>DESCRIÇÃO DOS SERVIÇOS</t>
  </si>
  <si>
    <t>QUANTIDADE</t>
  </si>
  <si>
    <t>VALOR UNITÁRIO (R$)</t>
  </si>
  <si>
    <t>CUSTO UNITÁRIO (SEM BDI)</t>
  </si>
  <si>
    <t>PREÇO UNITÁRIO (COM BDI)</t>
  </si>
  <si>
    <t>SERVIÇOS INICIAIS</t>
  </si>
  <si>
    <t>2</t>
  </si>
  <si>
    <t>TERRAPLANAGEM</t>
  </si>
  <si>
    <t>3</t>
  </si>
  <si>
    <t>4</t>
  </si>
  <si>
    <t>TRANSPORTE DE QUALQUER NATUREZA DMT ACIMA DE 40 KM  (CM-30)  BELO HORIZONTE  - MONTALVÂNIA - DMT = 778 km</t>
  </si>
  <si>
    <t>PRAZO DA OBRA: 02 meses</t>
  </si>
  <si>
    <t xml:space="preserve">OBRA: PAVIMENTAÇÃO ASFÁLTICA EM PMF </t>
  </si>
  <si>
    <t>DATA: 07/2024</t>
  </si>
  <si>
    <t>DATA DO ORÇAMENTO: 07/2024</t>
  </si>
  <si>
    <t>RUA LEOCIPO</t>
  </si>
  <si>
    <t>RUA BIRON</t>
  </si>
  <si>
    <t>LOCAL: RUA LEOCIPO, RUA BIRON E RUA CANAL COCHANINO</t>
  </si>
  <si>
    <t>ED-51124</t>
  </si>
  <si>
    <t>REGULARIZAÇÃO E COMPACTAÇÃO MECÂNICA DE TERRENO COM
ROLO VIBRATÓRIO, EXCLUSIVE DESMATAMENTO,
DESTOCAMENTO, LIMPEZA/ROÇADA DO TERRENO</t>
  </si>
  <si>
    <t>RO-00318</t>
  </si>
  <si>
    <t>Base de solo estabilizado granulometricamente sem mistura com
material de jazida - Compactado na energia modificada (Execução,
incluído escavação e carga do material de jazida, exclui o transporte)</t>
  </si>
  <si>
    <t>CASCALHO DE CAVA</t>
  </si>
  <si>
    <t>ED-29232</t>
  </si>
  <si>
    <t>TRANSPORTE DE MATERIAL DE QUALQUER NATUREZA EM
CAMINHÃO, DISTÂNCIA MAIOR QUE 5KM E MENOR OU IGUAL A
10KM, DENTRO DO PERÍMETRO URBANO, EXCLUSIVE CARGA,
INCLUSIVE DESCARGA</t>
  </si>
  <si>
    <t>TRANSPORTE DE MATERIAL DE QUALQUER NATUREZA EM
CAMINHÃO, DISTÂNCIA MAIORES QUE 30KM, DENTRO DO
PERÍMETRO URBANO, EXCLUSIVE CARGA, INCLUSIVE DESCARGA. BELO HORIZONTE - MONTALVANIA (PMF)</t>
  </si>
  <si>
    <t>TRANSPORTE DE MATERIAL DE QUALQUER NATUREZA EM
CAMINHÃO, DISTÂNCIA MAIORES QUE 30KM, DENTRO DO
PERÍMETRO URBANO, EXCLUSIVE CARGA, INCLUSIVE DESCARGA. JANAÚBA - MONTALVANIA (BRITA</t>
  </si>
  <si>
    <t>TRANSPORTE DE MATERIAL DE QUALQUER NATUREZA EM
CAMINHÃO, DISTÂNCIA MAIORES QUE 30KM, DENTRO DO
PERÍMETRO URBANO, EXCLUSIVE CARGA, INCLUSIVE DESCARGA. MANGA- MONTALVANIA (AREIA)</t>
  </si>
  <si>
    <t>TRANSPORTE DE MATERIAL DE QUALQUER NATUREZA EM
CAMINHÃO, DISTÂNCIA MAIORES QUE 30KM, DENTRO DO
PERÍMETRO URBANO, EXCLUSIVE CARGA, INCLUSIVE DESCARGA. BELO HORIZONTE - MONTALVANIA (RR-1C)</t>
  </si>
  <si>
    <t>TRANSPORTE DE MATERIAL DE QUALQUER NATUREZA EM
CAMINHÃO, DISTÂNCIA MAIORES QUE 30KM, DENTRO DO
PERÍMETRO URBANO, EXCLUSIVE CARGA, INCLUSIVE DESCARGA. BELO HORIZONTE - MONTALVANIA (CM-30/IMPRIMA)</t>
  </si>
  <si>
    <t>GUIA (MEIO-FIO) E SARJETA CONJUGADOS DE CONCRETO, MOLDADA IN LOCO EM TRECHO RETO COM EXTRUSORA, 45 CM BASE (15 CM BASE DA GUIA + 30 CM BASE DA SARJETA) X 22 CM ALTURA. AF_01/2024</t>
  </si>
  <si>
    <t>RO-51229</t>
  </si>
  <si>
    <t>Pintura de ligação (Execução e fornecimento do material betuminoso,
exclusive transporte do material betuminoso)</t>
  </si>
  <si>
    <t xml:space="preserve"> REFERÊNCIA: SETOP 08/2023, 04/2024 E SINAPI 01/2024, 06/2024 </t>
  </si>
  <si>
    <t>BDI PROPOSTO:</t>
  </si>
  <si>
    <t>COMPOSIÇÃO DO BDI</t>
  </si>
  <si>
    <t>FÓRMULA ADOTADA:</t>
  </si>
  <si>
    <t>GARANTIA (G) e SEGURO (S)</t>
  </si>
  <si>
    <t>Espaço para detalhamento da fórmula de cálculo utilizada para o BDI.</t>
  </si>
  <si>
    <t>RISCO ( R )</t>
  </si>
  <si>
    <t>DESPESAS FINANCEIRAS (DF)</t>
  </si>
  <si>
    <t>ADMINISTRAÇÃO CENTRAL (AC)</t>
  </si>
  <si>
    <t>LUCRO (L)</t>
  </si>
  <si>
    <t>TRIBUTOS (T)</t>
  </si>
  <si>
    <t>PAVIMENTAÇÃO EM PMF</t>
  </si>
  <si>
    <t>PAVIMENTAÇÃO ASFÁLTICA EM PMF - RUA LEOCIPO E BIRON</t>
  </si>
  <si>
    <t>SETOP 08/2023 E 04/2024 SINAPI 01/2024 E 06/2024</t>
  </si>
  <si>
    <t>LOCAL: RUAS: LEOCIPO E BIRON - MONTALVANIA - MG</t>
  </si>
  <si>
    <t>SINAPI</t>
  </si>
  <si>
    <t>ED-51103</t>
  </si>
  <si>
    <t>ESCAVAÇÃO MECÂNICA HORIZONTAL, COM TRATOR DE ESTEIRA,
EM MATERIAL DE 1ª CATEGORIA, INCLUSIVE AFASTAMENTO E
EMPILHAMENTO COM DISTÂNCIA MÁXIMA DE ATÉ CINQUENTA (50)
METROS, EXCLUSIVE CARGA, TRANSPORTE E DESGARGA</t>
  </si>
  <si>
    <t>ESCAVAÇÃO MECÂNICA HORIZONTAL, COM TRATOR DE ESTEIRA, EM MATERIAL DE 1ª CATEGORIA, INCLUSIVE AFASTAMENTO E EMPILHAMENTO COM DISTÂNCIA MÁXIMA DE ATÉ CINQUENTA (50) METROS, EXCLUSIVE CARGA, TRANSPORTE E DESGARGA</t>
  </si>
  <si>
    <t xml:space="preserve">ÁREA X ESPESSURA (15 CM)
</t>
  </si>
  <si>
    <t>COMPRIMENTO X LARGURA X 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</si>
</sst>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164" formatCode="&quot;R$&quot;\ #,##0.00"/>
    <numFmt numFmtId="165" formatCode="#,##0.000"/>
    <numFmt numFmtId="166" formatCode="&quot;R$ &quot;#,##0.00"/>
    <numFmt numFmtId="167" formatCode="_(* #,##0.00_);_(* \(#,##0.00\);_(* &quot;-&quot;??_);_(@_)"/>
    <numFmt numFmtId="168" formatCode="#,##0.000000"/>
    <numFmt numFmtId="169" formatCode="#,##0.0000"/>
    <numFmt numFmtId="170" formatCode="_-&quot;R$&quot;\ * #,##0.0000_-;\-&quot;R$&quot;\ * #,##0.0000_-;_-&quot;R$&quot;\ * &quot;-&quot;????_-;_-@_-"/>
    <numFmt numFmtId="171" formatCode="#,##0.00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b/>
      <sz val="22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2">
    <xf numFmtId="0" fontId="0" fillId="0" borderId="0" xfId="0"/>
    <xf numFmtId="0" fontId="5" fillId="0" borderId="0" xfId="0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0" fillId="0" borderId="0" xfId="0" applyFont="1"/>
    <xf numFmtId="0" fontId="3" fillId="0" borderId="0" xfId="0" applyFont="1"/>
    <xf numFmtId="10" fontId="3" fillId="0" borderId="0" xfId="2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0" fontId="7" fillId="0" borderId="4" xfId="2" applyNumberFormat="1" applyFont="1" applyBorder="1"/>
    <xf numFmtId="4" fontId="7" fillId="0" borderId="4" xfId="0" applyNumberFormat="1" applyFont="1" applyBorder="1"/>
    <xf numFmtId="10" fontId="0" fillId="0" borderId="0" xfId="2" applyNumberFormat="1" applyFont="1"/>
    <xf numFmtId="10" fontId="7" fillId="0" borderId="4" xfId="0" applyNumberFormat="1" applyFont="1" applyBorder="1"/>
    <xf numFmtId="0" fontId="5" fillId="0" borderId="0" xfId="0" applyFont="1" applyAlignment="1">
      <alignment horizontal="left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9" fillId="0" borderId="10" xfId="0" applyNumberFormat="1" applyFont="1" applyBorder="1" applyAlignment="1">
      <alignment vertical="center"/>
    </xf>
    <xf numFmtId="0" fontId="16" fillId="0" borderId="0" xfId="0" applyFont="1" applyAlignment="1">
      <alignment vertical="justify"/>
    </xf>
    <xf numFmtId="0" fontId="16" fillId="0" borderId="15" xfId="0" applyFont="1" applyBorder="1" applyAlignment="1">
      <alignment vertical="justify"/>
    </xf>
    <xf numFmtId="0" fontId="15" fillId="0" borderId="0" xfId="0" applyFont="1"/>
    <xf numFmtId="0" fontId="16" fillId="0" borderId="0" xfId="0" applyFont="1"/>
    <xf numFmtId="0" fontId="15" fillId="0" borderId="15" xfId="0" applyFont="1" applyBorder="1"/>
    <xf numFmtId="0" fontId="5" fillId="0" borderId="15" xfId="0" applyFont="1" applyBorder="1"/>
    <xf numFmtId="0" fontId="16" fillId="0" borderId="15" xfId="0" applyFont="1" applyBorder="1"/>
    <xf numFmtId="0" fontId="0" fillId="0" borderId="4" xfId="0" applyBorder="1" applyAlignment="1">
      <alignment horizontal="center" vertical="top"/>
    </xf>
    <xf numFmtId="0" fontId="4" fillId="0" borderId="0" xfId="0" applyFont="1"/>
    <xf numFmtId="0" fontId="11" fillId="0" borderId="0" xfId="0" applyFont="1" applyAlignment="1">
      <alignment horizontal="center"/>
    </xf>
    <xf numFmtId="4" fontId="0" fillId="0" borderId="0" xfId="0" applyNumberFormat="1"/>
    <xf numFmtId="0" fontId="13" fillId="0" borderId="0" xfId="0" applyFont="1"/>
    <xf numFmtId="0" fontId="7" fillId="0" borderId="7" xfId="0" applyFont="1" applyBorder="1" applyAlignment="1">
      <alignment horizontal="center"/>
    </xf>
    <xf numFmtId="10" fontId="5" fillId="0" borderId="0" xfId="0" applyNumberFormat="1" applyFont="1" applyAlignment="1">
      <alignment horizontal="left"/>
    </xf>
    <xf numFmtId="4" fontId="12" fillId="0" borderId="4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/>
    </xf>
    <xf numFmtId="0" fontId="18" fillId="0" borderId="0" xfId="0" applyFont="1"/>
    <xf numFmtId="4" fontId="11" fillId="0" borderId="4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justify"/>
    </xf>
    <xf numFmtId="0" fontId="11" fillId="0" borderId="6" xfId="0" applyFont="1" applyBorder="1" applyAlignment="1">
      <alignment horizontal="center" vertical="distributed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4" fontId="13" fillId="0" borderId="0" xfId="0" applyNumberFormat="1" applyFont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justify"/>
    </xf>
    <xf numFmtId="0" fontId="1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justify"/>
    </xf>
    <xf numFmtId="0" fontId="10" fillId="0" borderId="4" xfId="0" applyFont="1" applyBorder="1" applyAlignment="1">
      <alignment horizontal="center" vertical="justify"/>
    </xf>
    <xf numFmtId="0" fontId="11" fillId="0" borderId="4" xfId="0" applyFont="1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0" fillId="0" borderId="0" xfId="0" applyAlignment="1">
      <alignment vertical="justify"/>
    </xf>
    <xf numFmtId="4" fontId="3" fillId="0" borderId="4" xfId="0" applyNumberFormat="1" applyFont="1" applyBorder="1" applyAlignment="1">
      <alignment horizontal="center" vertical="justify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11" fillId="2" borderId="0" xfId="0" applyFont="1" applyFill="1" applyAlignment="1">
      <alignment wrapText="1"/>
    </xf>
    <xf numFmtId="0" fontId="11" fillId="2" borderId="3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left"/>
    </xf>
    <xf numFmtId="0" fontId="10" fillId="0" borderId="49" xfId="0" applyFont="1" applyBorder="1" applyAlignment="1">
      <alignment horizontal="center"/>
    </xf>
    <xf numFmtId="0" fontId="10" fillId="0" borderId="49" xfId="0" applyFont="1" applyBorder="1"/>
    <xf numFmtId="0" fontId="10" fillId="0" borderId="49" xfId="0" applyFont="1" applyBorder="1" applyAlignment="1">
      <alignment horizontal="left"/>
    </xf>
    <xf numFmtId="0" fontId="18" fillId="0" borderId="49" xfId="0" applyFont="1" applyBorder="1"/>
    <xf numFmtId="10" fontId="18" fillId="0" borderId="49" xfId="0" applyNumberFormat="1" applyFont="1" applyBorder="1" applyAlignment="1">
      <alignment horizontal="left"/>
    </xf>
    <xf numFmtId="0" fontId="0" fillId="0" borderId="49" xfId="0" applyBorder="1"/>
    <xf numFmtId="0" fontId="0" fillId="0" borderId="48" xfId="0" applyBorder="1"/>
    <xf numFmtId="0" fontId="18" fillId="0" borderId="3" xfId="0" applyFont="1" applyBorder="1"/>
    <xf numFmtId="10" fontId="10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8" fillId="0" borderId="8" xfId="0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top"/>
    </xf>
    <xf numFmtId="0" fontId="10" fillId="0" borderId="14" xfId="0" applyFont="1" applyBorder="1" applyAlignment="1">
      <alignment vertical="top"/>
    </xf>
    <xf numFmtId="0" fontId="10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center"/>
    </xf>
    <xf numFmtId="10" fontId="10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55" xfId="0" applyFont="1" applyBorder="1" applyAlignment="1">
      <alignment horizontal="center" vertical="distributed"/>
    </xf>
    <xf numFmtId="0" fontId="11" fillId="0" borderId="2" xfId="0" applyFont="1" applyBorder="1"/>
    <xf numFmtId="0" fontId="11" fillId="0" borderId="5" xfId="0" applyFont="1" applyBorder="1" applyAlignment="1">
      <alignment horizontal="center"/>
    </xf>
    <xf numFmtId="10" fontId="10" fillId="0" borderId="12" xfId="0" applyNumberFormat="1" applyFont="1" applyBorder="1" applyAlignment="1">
      <alignment horizontal="left"/>
    </xf>
    <xf numFmtId="0" fontId="0" fillId="0" borderId="15" xfId="0" applyBorder="1" applyProtection="1">
      <protection hidden="1"/>
    </xf>
    <xf numFmtId="10" fontId="3" fillId="2" borderId="0" xfId="0" applyNumberFormat="1" applyFont="1" applyFill="1"/>
    <xf numFmtId="4" fontId="3" fillId="2" borderId="0" xfId="0" applyNumberFormat="1" applyFont="1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 vertical="justify" wrapText="1"/>
    </xf>
    <xf numFmtId="0" fontId="3" fillId="0" borderId="0" xfId="5"/>
    <xf numFmtId="0" fontId="10" fillId="0" borderId="51" xfId="4" applyFont="1" applyBorder="1" applyAlignment="1" applyProtection="1">
      <alignment vertical="center"/>
      <protection locked="0"/>
    </xf>
    <xf numFmtId="0" fontId="10" fillId="0" borderId="52" xfId="4" applyFont="1" applyBorder="1" applyAlignment="1" applyProtection="1">
      <alignment horizontal="center" vertical="center"/>
      <protection locked="0"/>
    </xf>
    <xf numFmtId="0" fontId="10" fillId="3" borderId="52" xfId="4" applyFont="1" applyFill="1" applyBorder="1" applyAlignment="1" applyProtection="1">
      <alignment vertical="center"/>
      <protection locked="0"/>
    </xf>
    <xf numFmtId="0" fontId="10" fillId="3" borderId="53" xfId="4" applyFont="1" applyFill="1" applyBorder="1" applyAlignment="1" applyProtection="1">
      <alignment vertical="center"/>
      <protection locked="0"/>
    </xf>
    <xf numFmtId="0" fontId="5" fillId="3" borderId="59" xfId="4" applyFont="1" applyFill="1" applyBorder="1" applyAlignment="1" applyProtection="1">
      <alignment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5" fillId="3" borderId="6" xfId="4" applyFont="1" applyFill="1" applyBorder="1" applyAlignment="1" applyProtection="1">
      <alignment vertical="center"/>
      <protection locked="0"/>
    </xf>
    <xf numFmtId="10" fontId="5" fillId="3" borderId="60" xfId="6" applyNumberFormat="1" applyFont="1" applyFill="1" applyBorder="1" applyAlignment="1" applyProtection="1">
      <alignment vertical="center"/>
      <protection locked="0"/>
    </xf>
    <xf numFmtId="0" fontId="5" fillId="0" borderId="61" xfId="4" applyFont="1" applyBorder="1" applyAlignment="1" applyProtection="1">
      <alignment vertical="center"/>
      <protection locked="0"/>
    </xf>
    <xf numFmtId="0" fontId="10" fillId="3" borderId="2" xfId="4" applyFont="1" applyFill="1" applyBorder="1" applyAlignment="1" applyProtection="1">
      <alignment horizontal="center" vertical="center"/>
      <protection locked="0"/>
    </xf>
    <xf numFmtId="0" fontId="10" fillId="3" borderId="3" xfId="4" applyFont="1" applyFill="1" applyBorder="1" applyAlignment="1" applyProtection="1">
      <alignment horizontal="center" vertical="center"/>
      <protection locked="0"/>
    </xf>
    <xf numFmtId="10" fontId="10" fillId="0" borderId="62" xfId="6" applyNumberFormat="1" applyFont="1" applyBorder="1" applyAlignment="1" applyProtection="1">
      <alignment horizontal="right" vertical="center"/>
    </xf>
    <xf numFmtId="0" fontId="5" fillId="0" borderId="57" xfId="4" applyFont="1" applyBorder="1" applyAlignment="1" applyProtection="1">
      <alignment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58" xfId="4" applyFont="1" applyBorder="1" applyAlignment="1" applyProtection="1">
      <alignment vertical="center"/>
      <protection locked="0"/>
    </xf>
    <xf numFmtId="0" fontId="10" fillId="0" borderId="63" xfId="4" applyFont="1" applyBorder="1" applyAlignment="1" applyProtection="1">
      <alignment vertical="center"/>
      <protection locked="0"/>
    </xf>
    <xf numFmtId="0" fontId="10" fillId="3" borderId="5" xfId="4" applyFont="1" applyFill="1" applyBorder="1" applyAlignment="1" applyProtection="1">
      <alignment horizontal="center" vertical="center"/>
      <protection locked="0"/>
    </xf>
    <xf numFmtId="0" fontId="10" fillId="3" borderId="5" xfId="4" applyFont="1" applyFill="1" applyBorder="1" applyAlignment="1" applyProtection="1">
      <alignment vertical="center"/>
      <protection locked="0"/>
    </xf>
    <xf numFmtId="0" fontId="10" fillId="3" borderId="64" xfId="4" applyFont="1" applyFill="1" applyBorder="1" applyAlignment="1" applyProtection="1">
      <alignment vertical="center"/>
      <protection locked="0"/>
    </xf>
    <xf numFmtId="0" fontId="5" fillId="0" borderId="59" xfId="4" applyFont="1" applyBorder="1" applyAlignment="1" applyProtection="1">
      <alignment vertical="center"/>
      <protection locked="0"/>
    </xf>
    <xf numFmtId="0" fontId="10" fillId="3" borderId="6" xfId="4" applyFont="1" applyFill="1" applyBorder="1" applyAlignment="1" applyProtection="1">
      <alignment horizontal="center" vertical="center"/>
      <protection locked="0"/>
    </xf>
    <xf numFmtId="0" fontId="10" fillId="0" borderId="2" xfId="4" applyFont="1" applyBorder="1" applyAlignment="1" applyProtection="1">
      <alignment horizontal="center" vertical="center"/>
      <protection locked="0"/>
    </xf>
    <xf numFmtId="0" fontId="10" fillId="0" borderId="3" xfId="4" applyFont="1" applyBorder="1" applyAlignment="1" applyProtection="1">
      <alignment horizontal="center" vertical="center"/>
      <protection locked="0"/>
    </xf>
    <xf numFmtId="0" fontId="10" fillId="0" borderId="5" xfId="4" applyFont="1" applyBorder="1" applyAlignment="1" applyProtection="1">
      <alignment horizontal="center" vertical="center"/>
      <protection locked="0"/>
    </xf>
    <xf numFmtId="0" fontId="10" fillId="0" borderId="5" xfId="4" applyFont="1" applyBorder="1" applyAlignment="1" applyProtection="1">
      <alignment vertical="center"/>
      <protection locked="0"/>
    </xf>
    <xf numFmtId="0" fontId="10" fillId="0" borderId="64" xfId="4" applyFont="1" applyBorder="1" applyAlignment="1" applyProtection="1">
      <alignment vertical="center"/>
      <protection locked="0"/>
    </xf>
    <xf numFmtId="0" fontId="5" fillId="0" borderId="6" xfId="4" applyFont="1" applyBorder="1" applyAlignment="1" applyProtection="1">
      <alignment vertical="center"/>
      <protection locked="0"/>
    </xf>
    <xf numFmtId="10" fontId="5" fillId="0" borderId="60" xfId="6" applyNumberFormat="1" applyFont="1" applyBorder="1" applyAlignment="1" applyProtection="1">
      <alignment vertical="center"/>
    </xf>
    <xf numFmtId="0" fontId="10" fillId="0" borderId="2" xfId="4" applyFont="1" applyBorder="1" applyAlignment="1" applyProtection="1">
      <alignment vertical="center"/>
      <protection locked="0"/>
    </xf>
    <xf numFmtId="0" fontId="10" fillId="0" borderId="0" xfId="4" applyFont="1" applyAlignment="1" applyProtection="1">
      <alignment vertical="center"/>
      <protection locked="0"/>
    </xf>
    <xf numFmtId="10" fontId="10" fillId="0" borderId="58" xfId="6" applyNumberFormat="1" applyFont="1" applyBorder="1" applyAlignment="1" applyProtection="1">
      <alignment horizontal="right" vertical="center"/>
    </xf>
    <xf numFmtId="0" fontId="5" fillId="3" borderId="28" xfId="4" applyFont="1" applyFill="1" applyBorder="1" applyAlignment="1" applyProtection="1">
      <alignment vertical="center"/>
      <protection locked="0"/>
    </xf>
    <xf numFmtId="0" fontId="10" fillId="3" borderId="9" xfId="4" applyFont="1" applyFill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vertical="center"/>
      <protection locked="0"/>
    </xf>
    <xf numFmtId="10" fontId="5" fillId="0" borderId="60" xfId="6" applyNumberFormat="1" applyFont="1" applyBorder="1" applyAlignment="1" applyProtection="1">
      <alignment vertical="center"/>
      <protection locked="0"/>
    </xf>
    <xf numFmtId="0" fontId="5" fillId="3" borderId="61" xfId="4" applyFont="1" applyFill="1" applyBorder="1" applyAlignment="1" applyProtection="1">
      <alignment vertical="center"/>
      <protection locked="0"/>
    </xf>
    <xf numFmtId="10" fontId="10" fillId="0" borderId="65" xfId="6" applyNumberFormat="1" applyFont="1" applyBorder="1" applyAlignment="1" applyProtection="1">
      <alignment vertical="center"/>
    </xf>
    <xf numFmtId="0" fontId="5" fillId="3" borderId="57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/>
      <protection locked="0"/>
    </xf>
    <xf numFmtId="0" fontId="5" fillId="3" borderId="0" xfId="4" applyFont="1" applyFill="1" applyAlignment="1" applyProtection="1">
      <alignment vertical="center"/>
      <protection locked="0"/>
    </xf>
    <xf numFmtId="0" fontId="5" fillId="3" borderId="58" xfId="4" applyFont="1" applyFill="1" applyBorder="1" applyAlignment="1" applyProtection="1">
      <alignment vertical="center"/>
      <protection locked="0"/>
    </xf>
    <xf numFmtId="10" fontId="10" fillId="3" borderId="58" xfId="6" applyNumberFormat="1" applyFont="1" applyFill="1" applyBorder="1" applyAlignment="1" applyProtection="1">
      <alignment vertical="center"/>
    </xf>
    <xf numFmtId="0" fontId="10" fillId="3" borderId="57" xfId="4" applyFont="1" applyFill="1" applyBorder="1" applyAlignment="1" applyProtection="1">
      <alignment vertical="center"/>
      <protection locked="0"/>
    </xf>
    <xf numFmtId="0" fontId="5" fillId="3" borderId="0" xfId="4" applyFont="1" applyFill="1" applyAlignment="1" applyProtection="1">
      <alignment horizontal="left" vertical="center"/>
      <protection locked="0"/>
    </xf>
    <xf numFmtId="0" fontId="10" fillId="3" borderId="58" xfId="4" applyFont="1" applyFill="1" applyBorder="1" applyAlignment="1" applyProtection="1">
      <alignment vertical="center"/>
      <protection locked="0"/>
    </xf>
    <xf numFmtId="0" fontId="3" fillId="3" borderId="57" xfId="4" applyFont="1" applyFill="1" applyBorder="1" applyProtection="1">
      <protection locked="0"/>
    </xf>
    <xf numFmtId="0" fontId="3" fillId="3" borderId="0" xfId="4" applyFont="1" applyFill="1" applyProtection="1">
      <protection locked="0"/>
    </xf>
    <xf numFmtId="0" fontId="3" fillId="3" borderId="0" xfId="4" applyFont="1" applyFill="1" applyAlignment="1" applyProtection="1">
      <alignment horizontal="center"/>
      <protection locked="0"/>
    </xf>
    <xf numFmtId="0" fontId="3" fillId="3" borderId="58" xfId="4" applyFont="1" applyFill="1" applyBorder="1" applyAlignment="1" applyProtection="1">
      <alignment vertical="center"/>
      <protection locked="0"/>
    </xf>
    <xf numFmtId="0" fontId="3" fillId="3" borderId="0" xfId="4" applyFont="1" applyFill="1" applyAlignment="1" applyProtection="1">
      <alignment horizontal="center" vertical="top"/>
      <protection locked="0"/>
    </xf>
    <xf numFmtId="0" fontId="3" fillId="3" borderId="0" xfId="4" applyFont="1" applyFill="1" applyAlignment="1" applyProtection="1">
      <alignment horizontal="center" vertical="center" wrapText="1"/>
      <protection locked="0"/>
    </xf>
    <xf numFmtId="0" fontId="3" fillId="3" borderId="22" xfId="4" applyFont="1" applyFill="1" applyBorder="1" applyProtection="1">
      <protection locked="0"/>
    </xf>
    <xf numFmtId="0" fontId="3" fillId="3" borderId="19" xfId="4" applyFont="1" applyFill="1" applyBorder="1" applyProtection="1">
      <protection locked="0"/>
    </xf>
    <xf numFmtId="0" fontId="3" fillId="3" borderId="19" xfId="4" applyFont="1" applyFill="1" applyBorder="1" applyAlignment="1" applyProtection="1">
      <alignment horizontal="center" vertical="center" wrapText="1"/>
      <protection locked="0"/>
    </xf>
    <xf numFmtId="0" fontId="11" fillId="3" borderId="67" xfId="4" applyFont="1" applyFill="1" applyBorder="1" applyAlignment="1" applyProtection="1">
      <alignment horizontal="center" vertical="center" wrapText="1"/>
      <protection locked="0"/>
    </xf>
    <xf numFmtId="4" fontId="12" fillId="0" borderId="4" xfId="12" applyNumberFormat="1" applyFont="1" applyFill="1" applyBorder="1" applyAlignment="1">
      <alignment horizontal="center"/>
    </xf>
    <xf numFmtId="4" fontId="13" fillId="0" borderId="4" xfId="12" applyNumberFormat="1" applyFont="1" applyFill="1" applyBorder="1" applyAlignment="1">
      <alignment horizontal="center" vertical="center"/>
    </xf>
    <xf numFmtId="10" fontId="13" fillId="0" borderId="4" xfId="12" applyNumberFormat="1" applyFont="1" applyFill="1" applyBorder="1" applyAlignment="1">
      <alignment horizontal="center" vertical="center"/>
    </xf>
    <xf numFmtId="0" fontId="5" fillId="0" borderId="68" xfId="4" applyFont="1" applyBorder="1" applyAlignment="1" applyProtection="1">
      <alignment vertical="center"/>
      <protection locked="0"/>
    </xf>
    <xf numFmtId="0" fontId="10" fillId="0" borderId="7" xfId="4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 applyProtection="1">
      <alignment vertical="center"/>
      <protection locked="0"/>
    </xf>
    <xf numFmtId="10" fontId="5" fillId="0" borderId="42" xfId="6" applyNumberFormat="1" applyFont="1" applyBorder="1" applyAlignment="1" applyProtection="1">
      <alignment vertical="center"/>
    </xf>
    <xf numFmtId="0" fontId="3" fillId="0" borderId="4" xfId="0" applyFont="1" applyBorder="1" applyAlignment="1">
      <alignment vertical="distributed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distributed"/>
    </xf>
    <xf numFmtId="0" fontId="12" fillId="0" borderId="0" xfId="0" applyFont="1" applyAlignment="1">
      <alignment horizontal="center" vertical="justify"/>
    </xf>
    <xf numFmtId="164" fontId="12" fillId="0" borderId="0" xfId="11" applyNumberFormat="1" applyFont="1" applyFill="1" applyBorder="1" applyAlignment="1">
      <alignment horizontal="center" vertical="justify"/>
    </xf>
    <xf numFmtId="4" fontId="1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0" xfId="0" applyFill="1"/>
    <xf numFmtId="4" fontId="3" fillId="3" borderId="4" xfId="0" applyNumberFormat="1" applyFont="1" applyFill="1" applyBorder="1" applyAlignment="1">
      <alignment horizontal="center" vertical="justify" wrapText="1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distributed"/>
    </xf>
    <xf numFmtId="0" fontId="11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4" fontId="5" fillId="0" borderId="49" xfId="0" applyNumberFormat="1" applyFont="1" applyBorder="1"/>
    <xf numFmtId="0" fontId="0" fillId="0" borderId="50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49" xfId="0" applyBorder="1" applyAlignment="1">
      <alignment horizontal="center"/>
    </xf>
    <xf numFmtId="4" fontId="5" fillId="0" borderId="48" xfId="0" applyNumberFormat="1" applyFont="1" applyBorder="1"/>
    <xf numFmtId="0" fontId="11" fillId="0" borderId="14" xfId="0" applyFont="1" applyBorder="1" applyAlignment="1">
      <alignment horizontal="left" vertical="top"/>
    </xf>
    <xf numFmtId="0" fontId="11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1" fillId="0" borderId="49" xfId="0" applyFont="1" applyBorder="1" applyAlignment="1">
      <alignment horizontal="left" vertical="distributed"/>
    </xf>
    <xf numFmtId="4" fontId="10" fillId="0" borderId="0" xfId="0" applyNumberFormat="1" applyFont="1" applyAlignment="1">
      <alignment horizontal="right"/>
    </xf>
    <xf numFmtId="0" fontId="11" fillId="0" borderId="4" xfId="0" applyFont="1" applyBorder="1" applyAlignment="1">
      <alignment horizontal="center" vertical="top"/>
    </xf>
    <xf numFmtId="0" fontId="11" fillId="0" borderId="14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distributed" wrapText="1"/>
    </xf>
    <xf numFmtId="0" fontId="11" fillId="0" borderId="5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0" fillId="0" borderId="68" xfId="0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0" fillId="0" borderId="70" xfId="0" applyBorder="1"/>
    <xf numFmtId="0" fontId="10" fillId="0" borderId="61" xfId="0" applyFont="1" applyBorder="1" applyAlignment="1">
      <alignment horizontal="left" vertical="top"/>
    </xf>
    <xf numFmtId="0" fontId="11" fillId="0" borderId="62" xfId="0" applyFont="1" applyBorder="1"/>
    <xf numFmtId="0" fontId="11" fillId="0" borderId="65" xfId="0" applyFont="1" applyBorder="1" applyAlignment="1">
      <alignment horizontal="center"/>
    </xf>
    <xf numFmtId="0" fontId="10" fillId="0" borderId="28" xfId="0" applyFont="1" applyBorder="1" applyAlignment="1">
      <alignment horizontal="left" vertical="top"/>
    </xf>
    <xf numFmtId="10" fontId="11" fillId="0" borderId="64" xfId="0" applyNumberFormat="1" applyFont="1" applyBorder="1" applyAlignment="1">
      <alignment horizontal="center"/>
    </xf>
    <xf numFmtId="0" fontId="18" fillId="0" borderId="57" xfId="0" applyFont="1" applyBorder="1"/>
    <xf numFmtId="0" fontId="18" fillId="0" borderId="58" xfId="0" applyFont="1" applyBorder="1"/>
    <xf numFmtId="0" fontId="0" fillId="0" borderId="7" xfId="0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28" xfId="0" applyBorder="1" applyAlignment="1">
      <alignment horizontal="center" vertical="top"/>
    </xf>
    <xf numFmtId="0" fontId="10" fillId="0" borderId="3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2" fillId="0" borderId="74" xfId="0" applyFont="1" applyBorder="1" applyAlignment="1">
      <alignment horizontal="center" vertical="justify"/>
    </xf>
    <xf numFmtId="0" fontId="10" fillId="0" borderId="66" xfId="0" applyFont="1" applyBorder="1" applyAlignment="1">
      <alignment horizontal="center"/>
    </xf>
    <xf numFmtId="0" fontId="12" fillId="0" borderId="65" xfId="0" applyFont="1" applyBorder="1" applyAlignment="1">
      <alignment horizontal="center" vertical="justify"/>
    </xf>
    <xf numFmtId="164" fontId="12" fillId="0" borderId="65" xfId="11" applyNumberFormat="1" applyFont="1" applyFill="1" applyBorder="1" applyAlignment="1">
      <alignment horizontal="center" vertical="justify"/>
    </xf>
    <xf numFmtId="4" fontId="12" fillId="0" borderId="42" xfId="0" applyNumberFormat="1" applyFont="1" applyBorder="1" applyAlignment="1">
      <alignment horizontal="center"/>
    </xf>
    <xf numFmtId="4" fontId="13" fillId="0" borderId="65" xfId="0" applyNumberFormat="1" applyFont="1" applyBorder="1" applyAlignment="1">
      <alignment horizontal="center" vertical="center"/>
    </xf>
    <xf numFmtId="4" fontId="12" fillId="0" borderId="65" xfId="0" applyNumberFormat="1" applyFont="1" applyBorder="1" applyAlignment="1">
      <alignment horizontal="center"/>
    </xf>
    <xf numFmtId="4" fontId="13" fillId="0" borderId="42" xfId="0" applyNumberFormat="1" applyFont="1" applyBorder="1" applyAlignment="1">
      <alignment horizontal="center"/>
    </xf>
    <xf numFmtId="4" fontId="12" fillId="0" borderId="75" xfId="0" applyNumberFormat="1" applyFont="1" applyBorder="1" applyAlignment="1">
      <alignment horizontal="center"/>
    </xf>
    <xf numFmtId="4" fontId="12" fillId="0" borderId="76" xfId="0" applyNumberFormat="1" applyFont="1" applyBorder="1" applyAlignment="1">
      <alignment horizontal="center"/>
    </xf>
    <xf numFmtId="4" fontId="21" fillId="0" borderId="75" xfId="0" applyNumberFormat="1" applyFont="1" applyBorder="1" applyAlignment="1">
      <alignment horizontal="center"/>
    </xf>
    <xf numFmtId="4" fontId="17" fillId="0" borderId="75" xfId="0" applyNumberFormat="1" applyFont="1" applyBorder="1" applyAlignment="1">
      <alignment horizontal="center"/>
    </xf>
    <xf numFmtId="4" fontId="12" fillId="0" borderId="75" xfId="0" applyNumberFormat="1" applyFont="1" applyBorder="1" applyAlignment="1">
      <alignment horizontal="center" vertical="center"/>
    </xf>
    <xf numFmtId="4" fontId="12" fillId="0" borderId="75" xfId="12" applyNumberFormat="1" applyFont="1" applyFill="1" applyBorder="1" applyAlignment="1">
      <alignment horizontal="center" vertical="center"/>
    </xf>
    <xf numFmtId="4" fontId="12" fillId="0" borderId="76" xfId="0" applyNumberFormat="1" applyFont="1" applyBorder="1" applyAlignment="1">
      <alignment horizontal="center" vertical="center"/>
    </xf>
    <xf numFmtId="0" fontId="11" fillId="0" borderId="0" xfId="0" applyFont="1" applyAlignment="1">
      <alignment vertical="justify"/>
    </xf>
    <xf numFmtId="4" fontId="12" fillId="0" borderId="0" xfId="12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vertical="center"/>
    </xf>
    <xf numFmtId="9" fontId="0" fillId="0" borderId="0" xfId="2" applyFont="1" applyFill="1"/>
    <xf numFmtId="0" fontId="0" fillId="2" borderId="57" xfId="0" applyFill="1" applyBorder="1"/>
    <xf numFmtId="0" fontId="3" fillId="3" borderId="4" xfId="0" applyFont="1" applyFill="1" applyBorder="1" applyAlignment="1">
      <alignment vertical="justify" wrapText="1"/>
    </xf>
    <xf numFmtId="0" fontId="11" fillId="0" borderId="0" xfId="0" applyFont="1"/>
    <xf numFmtId="168" fontId="5" fillId="0" borderId="4" xfId="0" applyNumberFormat="1" applyFont="1" applyBorder="1"/>
    <xf numFmtId="168" fontId="5" fillId="0" borderId="7" xfId="0" applyNumberFormat="1" applyFont="1" applyBorder="1" applyAlignment="1">
      <alignment vertical="center"/>
    </xf>
    <xf numFmtId="168" fontId="5" fillId="0" borderId="7" xfId="0" applyNumberFormat="1" applyFont="1" applyBorder="1"/>
    <xf numFmtId="168" fontId="11" fillId="0" borderId="9" xfId="0" applyNumberFormat="1" applyFont="1" applyBorder="1"/>
    <xf numFmtId="44" fontId="5" fillId="0" borderId="7" xfId="1" applyFont="1" applyBorder="1" applyAlignment="1">
      <alignment vertical="center"/>
    </xf>
    <xf numFmtId="44" fontId="5" fillId="0" borderId="42" xfId="1" applyFont="1" applyBorder="1" applyAlignment="1">
      <alignment vertical="center"/>
    </xf>
    <xf numFmtId="44" fontId="5" fillId="0" borderId="4" xfId="1" applyFont="1" applyBorder="1"/>
    <xf numFmtId="44" fontId="5" fillId="0" borderId="65" xfId="1" applyFont="1" applyBorder="1"/>
    <xf numFmtId="44" fontId="10" fillId="0" borderId="71" xfId="1" applyFont="1" applyBorder="1"/>
    <xf numFmtId="44" fontId="5" fillId="0" borderId="7" xfId="1" applyFont="1" applyBorder="1"/>
    <xf numFmtId="44" fontId="5" fillId="0" borderId="42" xfId="1" applyFont="1" applyBorder="1"/>
    <xf numFmtId="0" fontId="10" fillId="0" borderId="22" xfId="0" applyFont="1" applyBorder="1"/>
    <xf numFmtId="0" fontId="10" fillId="0" borderId="19" xfId="0" applyFont="1" applyBorder="1"/>
    <xf numFmtId="44" fontId="10" fillId="0" borderId="77" xfId="1" applyFont="1" applyBorder="1" applyAlignment="1">
      <alignment horizontal="right"/>
    </xf>
    <xf numFmtId="44" fontId="10" fillId="0" borderId="69" xfId="1" applyFont="1" applyBorder="1"/>
    <xf numFmtId="0" fontId="3" fillId="0" borderId="7" xfId="0" applyFont="1" applyBorder="1" applyAlignment="1">
      <alignment vertical="distributed" wrapText="1"/>
    </xf>
    <xf numFmtId="0" fontId="11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vertical="justify" wrapText="1"/>
    </xf>
    <xf numFmtId="169" fontId="0" fillId="0" borderId="0" xfId="0" applyNumberFormat="1"/>
    <xf numFmtId="166" fontId="11" fillId="2" borderId="26" xfId="0" applyNumberFormat="1" applyFont="1" applyFill="1" applyBorder="1" applyAlignment="1">
      <alignment vertical="top" wrapText="1"/>
    </xf>
    <xf numFmtId="49" fontId="3" fillId="4" borderId="30" xfId="0" applyNumberFormat="1" applyFont="1" applyFill="1" applyBorder="1" applyAlignment="1">
      <alignment horizontal="center" vertical="top" wrapText="1"/>
    </xf>
    <xf numFmtId="10" fontId="11" fillId="4" borderId="30" xfId="0" applyNumberFormat="1" applyFont="1" applyFill="1" applyBorder="1" applyAlignment="1">
      <alignment vertical="top" wrapText="1"/>
    </xf>
    <xf numFmtId="10" fontId="3" fillId="4" borderId="30" xfId="0" applyNumberFormat="1" applyFont="1" applyFill="1" applyBorder="1" applyAlignment="1">
      <alignment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166" fontId="3" fillId="2" borderId="29" xfId="0" applyNumberFormat="1" applyFont="1" applyFill="1" applyBorder="1" applyAlignment="1">
      <alignment vertical="top" wrapText="1"/>
    </xf>
    <xf numFmtId="49" fontId="3" fillId="4" borderId="29" xfId="0" applyNumberFormat="1" applyFont="1" applyFill="1" applyBorder="1" applyAlignment="1">
      <alignment horizontal="center" vertical="top" wrapText="1"/>
    </xf>
    <xf numFmtId="44" fontId="3" fillId="2" borderId="30" xfId="1" applyFont="1" applyFill="1" applyBorder="1" applyAlignment="1">
      <alignment vertical="top" wrapText="1"/>
    </xf>
    <xf numFmtId="49" fontId="11" fillId="4" borderId="27" xfId="0" applyNumberFormat="1" applyFont="1" applyFill="1" applyBorder="1" applyAlignment="1">
      <alignment horizontal="center" vertical="top" wrapText="1"/>
    </xf>
    <xf numFmtId="10" fontId="11" fillId="4" borderId="27" xfId="0" applyNumberFormat="1" applyFont="1" applyFill="1" applyBorder="1" applyAlignment="1">
      <alignment vertical="top" wrapText="1"/>
    </xf>
    <xf numFmtId="49" fontId="11" fillId="2" borderId="26" xfId="0" applyNumberFormat="1" applyFont="1" applyFill="1" applyBorder="1" applyAlignment="1">
      <alignment horizontal="center" vertical="top" wrapText="1"/>
    </xf>
    <xf numFmtId="44" fontId="11" fillId="4" borderId="27" xfId="0" applyNumberFormat="1" applyFont="1" applyFill="1" applyBorder="1" applyAlignment="1">
      <alignment vertical="top" wrapText="1"/>
    </xf>
    <xf numFmtId="10" fontId="11" fillId="2" borderId="26" xfId="2" applyNumberFormat="1" applyFont="1" applyFill="1" applyBorder="1" applyAlignment="1">
      <alignment vertical="top" wrapText="1"/>
    </xf>
    <xf numFmtId="4" fontId="13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 vertical="center"/>
    </xf>
    <xf numFmtId="4" fontId="12" fillId="0" borderId="5" xfId="12" applyNumberFormat="1" applyFont="1" applyFill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 vertical="center"/>
    </xf>
    <xf numFmtId="0" fontId="25" fillId="3" borderId="81" xfId="0" applyFont="1" applyFill="1" applyBorder="1" applyAlignment="1">
      <alignment horizontal="left" vertical="center"/>
    </xf>
    <xf numFmtId="49" fontId="0" fillId="5" borderId="80" xfId="0" applyNumberFormat="1" applyFill="1" applyBorder="1" applyAlignment="1">
      <alignment horizontal="center" vertical="center"/>
    </xf>
    <xf numFmtId="49" fontId="0" fillId="5" borderId="82" xfId="0" applyNumberFormat="1" applyFill="1" applyBorder="1" applyAlignment="1">
      <alignment horizontal="center" vertical="center"/>
    </xf>
    <xf numFmtId="0" fontId="0" fillId="3" borderId="0" xfId="0" applyFill="1" applyAlignment="1"/>
    <xf numFmtId="0" fontId="0" fillId="0" borderId="0" xfId="0" applyAlignment="1"/>
    <xf numFmtId="0" fontId="25" fillId="3" borderId="83" xfId="0" applyFont="1" applyFill="1" applyBorder="1" applyAlignment="1">
      <alignment horizontal="left" vertical="center"/>
    </xf>
    <xf numFmtId="0" fontId="25" fillId="3" borderId="86" xfId="0" applyFont="1" applyFill="1" applyBorder="1" applyAlignment="1">
      <alignment horizontal="left" vertical="center"/>
    </xf>
    <xf numFmtId="14" fontId="0" fillId="6" borderId="87" xfId="0" applyNumberFormat="1" applyFill="1" applyBorder="1" applyAlignment="1">
      <alignment horizontal="center" vertical="center"/>
    </xf>
    <xf numFmtId="49" fontId="0" fillId="6" borderId="87" xfId="0" applyNumberFormat="1" applyFill="1" applyBorder="1" applyAlignment="1">
      <alignment horizontal="center" vertical="center"/>
    </xf>
    <xf numFmtId="49" fontId="0" fillId="6" borderId="84" xfId="0" applyNumberFormat="1" applyFill="1" applyBorder="1" applyAlignment="1">
      <alignment vertical="center"/>
    </xf>
    <xf numFmtId="49" fontId="0" fillId="5" borderId="84" xfId="0" applyNumberFormat="1" applyFill="1" applyBorder="1" applyAlignment="1">
      <alignment horizontal="left" vertical="center"/>
    </xf>
    <xf numFmtId="49" fontId="0" fillId="5" borderId="87" xfId="0" applyNumberFormat="1" applyFill="1" applyBorder="1" applyAlignment="1">
      <alignment horizontal="center" vertical="center"/>
    </xf>
    <xf numFmtId="0" fontId="25" fillId="0" borderId="89" xfId="0" applyFont="1" applyFill="1" applyBorder="1" applyAlignment="1">
      <alignment horizontal="center" vertical="center"/>
    </xf>
    <xf numFmtId="0" fontId="25" fillId="3" borderId="90" xfId="0" applyFont="1" applyFill="1" applyBorder="1" applyAlignment="1">
      <alignment horizontal="left" vertical="center" wrapText="1"/>
    </xf>
    <xf numFmtId="9" fontId="0" fillId="6" borderId="91" xfId="0" applyNumberFormat="1" applyFill="1" applyBorder="1" applyAlignment="1">
      <alignment horizontal="center" vertical="center"/>
    </xf>
    <xf numFmtId="0" fontId="25" fillId="5" borderId="96" xfId="0" applyFont="1" applyFill="1" applyBorder="1" applyAlignment="1">
      <alignment horizontal="center" vertical="center"/>
    </xf>
    <xf numFmtId="0" fontId="25" fillId="3" borderId="97" xfId="0" applyFont="1" applyFill="1" applyBorder="1" applyAlignment="1">
      <alignment horizontal="left" vertical="center" wrapText="1"/>
    </xf>
    <xf numFmtId="9" fontId="0" fillId="6" borderId="98" xfId="0" applyNumberFormat="1" applyFill="1" applyBorder="1" applyAlignment="1">
      <alignment horizontal="center" vertical="center"/>
    </xf>
    <xf numFmtId="170" fontId="0" fillId="0" borderId="0" xfId="0" applyNumberFormat="1"/>
    <xf numFmtId="0" fontId="25" fillId="8" borderId="107" xfId="0" applyFont="1" applyFill="1" applyBorder="1" applyAlignment="1">
      <alignment horizontal="center" vertical="center" wrapText="1"/>
    </xf>
    <xf numFmtId="0" fontId="0" fillId="5" borderId="107" xfId="0" applyFill="1" applyBorder="1" applyAlignment="1">
      <alignment horizontal="center"/>
    </xf>
    <xf numFmtId="44" fontId="25" fillId="4" borderId="107" xfId="1" applyFont="1" applyFill="1" applyBorder="1" applyAlignment="1">
      <alignment horizontal="right" vertical="center"/>
    </xf>
    <xf numFmtId="0" fontId="25" fillId="8" borderId="86" xfId="0" applyFont="1" applyFill="1" applyBorder="1" applyAlignment="1">
      <alignment horizontal="center" vertical="center" wrapText="1"/>
    </xf>
    <xf numFmtId="0" fontId="0" fillId="5" borderId="45" xfId="0" applyNumberFormat="1" applyFill="1" applyBorder="1" applyAlignment="1">
      <alignment horizontal="center" vertical="center"/>
    </xf>
    <xf numFmtId="0" fontId="25" fillId="5" borderId="107" xfId="0" applyNumberFormat="1" applyFont="1" applyFill="1" applyBorder="1" applyAlignment="1">
      <alignment horizontal="center" vertical="center" wrapText="1"/>
    </xf>
    <xf numFmtId="0" fontId="0" fillId="5" borderId="108" xfId="0" applyNumberFormat="1" applyFill="1" applyBorder="1" applyAlignment="1">
      <alignment horizontal="center" vertical="center"/>
    </xf>
    <xf numFmtId="171" fontId="0" fillId="5" borderId="45" xfId="0" applyNumberFormat="1" applyFill="1" applyBorder="1" applyAlignment="1">
      <alignment horizontal="right" vertical="center"/>
    </xf>
    <xf numFmtId="169" fontId="0" fillId="5" borderId="68" xfId="11" applyNumberFormat="1" applyFont="1" applyFill="1" applyBorder="1" applyAlignment="1">
      <alignment horizontal="right" vertical="center"/>
    </xf>
    <xf numFmtId="10" fontId="0" fillId="5" borderId="109" xfId="2" applyNumberFormat="1" applyFont="1" applyFill="1" applyBorder="1" applyAlignment="1">
      <alignment horizontal="right" vertical="center"/>
    </xf>
    <xf numFmtId="4" fontId="0" fillId="7" borderId="42" xfId="11" applyNumberFormat="1" applyFont="1" applyFill="1" applyBorder="1" applyAlignment="1">
      <alignment horizontal="right" vertical="center"/>
    </xf>
    <xf numFmtId="4" fontId="0" fillId="7" borderId="45" xfId="11" applyNumberFormat="1" applyFont="1" applyFill="1" applyBorder="1" applyAlignment="1">
      <alignment horizontal="right" vertical="center"/>
    </xf>
    <xf numFmtId="4" fontId="0" fillId="7" borderId="108" xfId="11" applyNumberFormat="1" applyFont="1" applyFill="1" applyBorder="1" applyAlignment="1">
      <alignment horizontal="right" vertical="center"/>
    </xf>
    <xf numFmtId="0" fontId="0" fillId="5" borderId="45" xfId="0" applyNumberFormat="1" applyFill="1" applyBorder="1" applyAlignment="1">
      <alignment horizontal="left" vertical="center" wrapText="1"/>
    </xf>
    <xf numFmtId="168" fontId="0" fillId="5" borderId="45" xfId="0" applyNumberFormat="1" applyFill="1" applyBorder="1" applyAlignment="1">
      <alignment horizontal="right" vertical="center"/>
    </xf>
    <xf numFmtId="168" fontId="0" fillId="7" borderId="45" xfId="11" applyNumberFormat="1" applyFont="1" applyFill="1" applyBorder="1" applyAlignment="1">
      <alignment horizontal="right" vertical="center"/>
    </xf>
    <xf numFmtId="49" fontId="0" fillId="5" borderId="61" xfId="0" applyNumberFormat="1" applyFill="1" applyBorder="1" applyAlignment="1">
      <alignment horizontal="center" vertical="center"/>
    </xf>
    <xf numFmtId="49" fontId="0" fillId="5" borderId="110" xfId="0" applyNumberFormat="1" applyFill="1" applyBorder="1" applyAlignment="1">
      <alignment horizontal="center" vertical="center"/>
    </xf>
    <xf numFmtId="168" fontId="0" fillId="5" borderId="61" xfId="0" applyNumberFormat="1" applyFill="1" applyBorder="1" applyAlignment="1">
      <alignment horizontal="right" vertical="center"/>
    </xf>
    <xf numFmtId="169" fontId="0" fillId="5" borderId="66" xfId="11" applyNumberFormat="1" applyFont="1" applyFill="1" applyBorder="1" applyAlignment="1">
      <alignment horizontal="right" vertical="center"/>
    </xf>
    <xf numFmtId="4" fontId="0" fillId="7" borderId="65" xfId="11" applyNumberFormat="1" applyFont="1" applyFill="1" applyBorder="1" applyAlignment="1">
      <alignment horizontal="right" vertical="center"/>
    </xf>
    <xf numFmtId="168" fontId="0" fillId="7" borderId="61" xfId="11" applyNumberFormat="1" applyFont="1" applyFill="1" applyBorder="1" applyAlignment="1">
      <alignment horizontal="right" vertical="center"/>
    </xf>
    <xf numFmtId="4" fontId="0" fillId="7" borderId="110" xfId="11" applyNumberFormat="1" applyFont="1" applyFill="1" applyBorder="1" applyAlignment="1">
      <alignment horizontal="right" vertical="center"/>
    </xf>
    <xf numFmtId="49" fontId="0" fillId="5" borderId="28" xfId="0" applyNumberFormat="1" applyFill="1" applyBorder="1" applyAlignment="1">
      <alignment horizontal="center" vertical="center"/>
    </xf>
    <xf numFmtId="49" fontId="0" fillId="5" borderId="28" xfId="0" applyNumberFormat="1" applyFill="1" applyBorder="1" applyAlignment="1">
      <alignment horizontal="left" vertical="center"/>
    </xf>
    <xf numFmtId="49" fontId="25" fillId="5" borderId="107" xfId="0" applyNumberFormat="1" applyFont="1" applyFill="1" applyBorder="1" applyAlignment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49" fontId="0" fillId="5" borderId="57" xfId="0" applyNumberFormat="1" applyFill="1" applyBorder="1" applyAlignment="1">
      <alignment horizontal="center" vertical="center"/>
    </xf>
    <xf numFmtId="49" fontId="0" fillId="5" borderId="57" xfId="0" applyNumberFormat="1" applyFill="1" applyBorder="1" applyAlignment="1">
      <alignment horizontal="left" vertical="center" wrapText="1"/>
    </xf>
    <xf numFmtId="10" fontId="0" fillId="5" borderId="110" xfId="2" applyNumberFormat="1" applyFont="1" applyFill="1" applyBorder="1" applyAlignment="1">
      <alignment horizontal="right" vertical="center"/>
    </xf>
    <xf numFmtId="49" fontId="0" fillId="5" borderId="2" xfId="0" applyNumberFormat="1" applyFill="1" applyBorder="1" applyAlignment="1">
      <alignment horizontal="center" vertical="center"/>
    </xf>
    <xf numFmtId="49" fontId="0" fillId="5" borderId="57" xfId="0" applyNumberFormat="1" applyFill="1" applyBorder="1" applyAlignment="1">
      <alignment horizontal="left" vertical="center"/>
    </xf>
    <xf numFmtId="0" fontId="0" fillId="5" borderId="15" xfId="0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left" vertical="center" wrapText="1"/>
    </xf>
    <xf numFmtId="10" fontId="5" fillId="0" borderId="4" xfId="2" applyNumberFormat="1" applyFont="1" applyBorder="1"/>
    <xf numFmtId="10" fontId="0" fillId="5" borderId="45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0" fillId="5" borderId="15" xfId="0" applyNumberFormat="1" applyFill="1" applyBorder="1" applyAlignment="1">
      <alignment horizontal="center" vertical="center"/>
    </xf>
    <xf numFmtId="49" fontId="0" fillId="5" borderId="108" xfId="0" applyNumberFormat="1" applyFill="1" applyBorder="1" applyAlignment="1">
      <alignment horizontal="center" vertical="center"/>
    </xf>
    <xf numFmtId="10" fontId="0" fillId="5" borderId="108" xfId="2" applyNumberFormat="1" applyFont="1" applyFill="1" applyBorder="1" applyAlignment="1">
      <alignment horizontal="right" vertical="center"/>
    </xf>
    <xf numFmtId="0" fontId="25" fillId="5" borderId="107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wrapText="1"/>
    </xf>
    <xf numFmtId="0" fontId="11" fillId="2" borderId="39" xfId="0" applyFont="1" applyFill="1" applyBorder="1" applyAlignment="1">
      <alignment vertical="center" wrapText="1"/>
    </xf>
    <xf numFmtId="10" fontId="32" fillId="4" borderId="104" xfId="12" applyNumberFormat="1" applyFont="1" applyFill="1" applyBorder="1" applyAlignment="1">
      <alignment horizontal="center"/>
    </xf>
    <xf numFmtId="10" fontId="0" fillId="6" borderId="114" xfId="12" applyNumberFormat="1" applyFont="1" applyFill="1" applyBorder="1" applyAlignment="1">
      <alignment horizontal="center" vertical="center"/>
    </xf>
    <xf numFmtId="10" fontId="0" fillId="6" borderId="117" xfId="12" applyNumberFormat="1" applyFont="1" applyFill="1" applyBorder="1" applyAlignment="1">
      <alignment horizontal="center" vertical="center"/>
    </xf>
    <xf numFmtId="0" fontId="10" fillId="0" borderId="121" xfId="4" applyFont="1" applyBorder="1" applyAlignment="1" applyProtection="1">
      <alignment vertical="center"/>
      <protection locked="0"/>
    </xf>
    <xf numFmtId="0" fontId="10" fillId="0" borderId="122" xfId="4" applyFont="1" applyBorder="1" applyAlignment="1" applyProtection="1">
      <alignment horizontal="center" vertical="center"/>
      <protection locked="0"/>
    </xf>
    <xf numFmtId="0" fontId="10" fillId="3" borderId="122" xfId="4" applyFont="1" applyFill="1" applyBorder="1" applyAlignment="1" applyProtection="1">
      <alignment vertical="center"/>
      <protection locked="0"/>
    </xf>
    <xf numFmtId="0" fontId="10" fillId="3" borderId="123" xfId="4" applyFont="1" applyFill="1" applyBorder="1" applyAlignment="1" applyProtection="1">
      <alignment vertical="center"/>
      <protection locked="0"/>
    </xf>
    <xf numFmtId="0" fontId="33" fillId="0" borderId="0" xfId="0" applyFont="1"/>
    <xf numFmtId="0" fontId="31" fillId="4" borderId="103" xfId="0" applyFont="1" applyFill="1" applyBorder="1" applyAlignment="1">
      <alignment horizontal="left"/>
    </xf>
    <xf numFmtId="0" fontId="31" fillId="4" borderId="111" xfId="0" applyFont="1" applyFill="1" applyBorder="1" applyAlignment="1">
      <alignment horizontal="left"/>
    </xf>
    <xf numFmtId="0" fontId="25" fillId="4" borderId="78" xfId="0" applyFont="1" applyFill="1" applyBorder="1" applyAlignment="1">
      <alignment horizontal="center" vertical="center"/>
    </xf>
    <xf numFmtId="0" fontId="25" fillId="4" borderId="79" xfId="0" applyFont="1" applyFill="1" applyBorder="1" applyAlignment="1">
      <alignment horizontal="center" vertical="center"/>
    </xf>
    <xf numFmtId="0" fontId="25" fillId="4" borderId="82" xfId="0" applyFont="1" applyFill="1" applyBorder="1" applyAlignment="1">
      <alignment horizontal="center" vertic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6" borderId="112" xfId="0" applyFill="1" applyBorder="1" applyAlignment="1">
      <alignment horizontal="center" vertical="center" wrapText="1"/>
    </xf>
    <xf numFmtId="0" fontId="0" fillId="6" borderId="113" xfId="0" applyFill="1" applyBorder="1" applyAlignment="1">
      <alignment horizontal="center" vertical="center" wrapText="1"/>
    </xf>
    <xf numFmtId="0" fontId="0" fillId="6" borderId="114" xfId="0" applyFill="1" applyBorder="1" applyAlignment="1">
      <alignment horizontal="center" vertical="center" wrapText="1"/>
    </xf>
    <xf numFmtId="0" fontId="0" fillId="6" borderId="115" xfId="0" applyFill="1" applyBorder="1" applyAlignment="1">
      <alignment horizontal="center" vertical="center" wrapText="1"/>
    </xf>
    <xf numFmtId="0" fontId="0" fillId="6" borderId="116" xfId="0" applyFill="1" applyBorder="1" applyAlignment="1">
      <alignment horizontal="center" vertical="center" wrapText="1"/>
    </xf>
    <xf numFmtId="0" fontId="0" fillId="6" borderId="117" xfId="0" applyFill="1" applyBorder="1" applyAlignment="1">
      <alignment horizontal="center" vertical="center" wrapText="1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0" fontId="5" fillId="3" borderId="66" xfId="4" applyFont="1" applyFill="1" applyBorder="1" applyAlignment="1" applyProtection="1">
      <alignment horizontal="center" vertical="center"/>
      <protection locked="0"/>
    </xf>
    <xf numFmtId="0" fontId="5" fillId="3" borderId="4" xfId="4" applyFont="1" applyFill="1" applyBorder="1" applyAlignment="1" applyProtection="1">
      <alignment horizontal="center" vertical="center"/>
      <protection locked="0"/>
    </xf>
    <xf numFmtId="0" fontId="5" fillId="3" borderId="65" xfId="4" applyFont="1" applyFill="1" applyBorder="1" applyAlignment="1" applyProtection="1">
      <alignment horizontal="center" vertical="center"/>
      <protection locked="0"/>
    </xf>
    <xf numFmtId="0" fontId="5" fillId="0" borderId="57" xfId="4" applyFont="1" applyBorder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8" fillId="0" borderId="118" xfId="4" applyFont="1" applyBorder="1" applyAlignment="1" applyProtection="1">
      <alignment horizontal="center" vertical="center"/>
      <protection locked="0"/>
    </xf>
    <xf numFmtId="0" fontId="8" fillId="0" borderId="119" xfId="4" applyFont="1" applyBorder="1" applyAlignment="1" applyProtection="1">
      <alignment horizontal="center" vertical="center"/>
      <protection locked="0"/>
    </xf>
    <xf numFmtId="0" fontId="8" fillId="0" borderId="120" xfId="4" applyFont="1" applyBorder="1" applyAlignment="1" applyProtection="1">
      <alignment horizontal="center" vertical="center"/>
      <protection locked="0"/>
    </xf>
    <xf numFmtId="0" fontId="27" fillId="8" borderId="102" xfId="0" applyFont="1" applyFill="1" applyBorder="1" applyAlignment="1">
      <alignment horizontal="center" vertical="center"/>
    </xf>
    <xf numFmtId="0" fontId="27" fillId="8" borderId="105" xfId="0" applyFont="1" applyFill="1" applyBorder="1" applyAlignment="1">
      <alignment horizontal="center" vertical="center"/>
    </xf>
    <xf numFmtId="0" fontId="27" fillId="8" borderId="106" xfId="0" applyFont="1" applyFill="1" applyBorder="1" applyAlignment="1">
      <alignment horizontal="center" vertical="center"/>
    </xf>
    <xf numFmtId="0" fontId="28" fillId="5" borderId="103" xfId="0" applyFont="1" applyFill="1" applyBorder="1" applyAlignment="1">
      <alignment horizontal="center"/>
    </xf>
    <xf numFmtId="0" fontId="28" fillId="5" borderId="104" xfId="0" applyFont="1" applyFill="1" applyBorder="1" applyAlignment="1">
      <alignment horizontal="center"/>
    </xf>
    <xf numFmtId="0" fontId="11" fillId="0" borderId="57" xfId="4" applyFont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58" xfId="4" applyFont="1" applyBorder="1" applyAlignment="1" applyProtection="1">
      <alignment horizontal="center" vertical="center"/>
      <protection locked="0"/>
    </xf>
    <xf numFmtId="0" fontId="28" fillId="6" borderId="103" xfId="0" applyFont="1" applyFill="1" applyBorder="1" applyAlignment="1">
      <alignment horizontal="center"/>
    </xf>
    <xf numFmtId="0" fontId="28" fillId="6" borderId="104" xfId="0" applyFont="1" applyFill="1" applyBorder="1" applyAlignment="1">
      <alignment horizontal="center"/>
    </xf>
    <xf numFmtId="0" fontId="28" fillId="7" borderId="103" xfId="0" applyFont="1" applyFill="1" applyBorder="1" applyAlignment="1">
      <alignment horizontal="center"/>
    </xf>
    <xf numFmtId="0" fontId="28" fillId="7" borderId="104" xfId="0" applyFont="1" applyFill="1" applyBorder="1" applyAlignment="1">
      <alignment horizontal="center"/>
    </xf>
    <xf numFmtId="0" fontId="25" fillId="3" borderId="92" xfId="0" applyFont="1" applyFill="1" applyBorder="1" applyAlignment="1">
      <alignment horizontal="left" vertical="center"/>
    </xf>
    <xf numFmtId="0" fontId="25" fillId="3" borderId="99" xfId="0" applyFont="1" applyFill="1" applyBorder="1" applyAlignment="1">
      <alignment horizontal="left" vertical="center"/>
    </xf>
    <xf numFmtId="10" fontId="0" fillId="6" borderId="94" xfId="2" applyNumberFormat="1" applyFont="1" applyFill="1" applyBorder="1" applyAlignment="1">
      <alignment horizontal="center" vertical="center"/>
    </xf>
    <xf numFmtId="10" fontId="0" fillId="6" borderId="101" xfId="2" applyNumberFormat="1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49" fontId="0" fillId="5" borderId="84" xfId="0" applyNumberFormat="1" applyFill="1" applyBorder="1" applyAlignment="1">
      <alignment horizontal="left" vertical="center"/>
    </xf>
    <xf numFmtId="49" fontId="0" fillId="5" borderId="85" xfId="0" applyNumberFormat="1" applyFill="1" applyBorder="1" applyAlignment="1">
      <alignment horizontal="left" vertical="center"/>
    </xf>
    <xf numFmtId="0" fontId="0" fillId="6" borderId="84" xfId="0" applyNumberFormat="1" applyFill="1" applyBorder="1" applyAlignment="1">
      <alignment horizontal="center" vertical="center"/>
    </xf>
    <xf numFmtId="0" fontId="0" fillId="6" borderId="85" xfId="0" applyNumberForma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left" vertical="center" wrapText="1"/>
    </xf>
    <xf numFmtId="0" fontId="25" fillId="3" borderId="95" xfId="0" applyFont="1" applyFill="1" applyBorder="1" applyAlignment="1">
      <alignment horizontal="left" vertical="center" wrapText="1"/>
    </xf>
    <xf numFmtId="14" fontId="25" fillId="5" borderId="124" xfId="0" applyNumberFormat="1" applyFont="1" applyFill="1" applyBorder="1" applyAlignment="1">
      <alignment horizontal="center" vertical="center" wrapText="1"/>
    </xf>
    <xf numFmtId="14" fontId="25" fillId="5" borderId="100" xfId="0" applyNumberFormat="1" applyFont="1" applyFill="1" applyBorder="1" applyAlignment="1">
      <alignment horizontal="center" vertical="center" wrapText="1"/>
    </xf>
    <xf numFmtId="10" fontId="0" fillId="7" borderId="93" xfId="2" applyNumberFormat="1" applyFont="1" applyFill="1" applyBorder="1" applyAlignment="1">
      <alignment horizontal="center" vertical="center"/>
    </xf>
    <xf numFmtId="10" fontId="0" fillId="7" borderId="10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53" xfId="0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5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distributed"/>
    </xf>
    <xf numFmtId="0" fontId="11" fillId="0" borderId="43" xfId="0" applyFont="1" applyBorder="1" applyAlignment="1">
      <alignment horizontal="center" vertical="distributed"/>
    </xf>
    <xf numFmtId="0" fontId="11" fillId="0" borderId="5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1" fillId="0" borderId="72" xfId="0" applyFont="1" applyBorder="1" applyAlignment="1">
      <alignment horizontal="left" vertical="justify" wrapText="1"/>
    </xf>
    <xf numFmtId="0" fontId="11" fillId="0" borderId="24" xfId="0" applyFont="1" applyBorder="1" applyAlignment="1">
      <alignment horizontal="left" vertical="justify"/>
    </xf>
    <xf numFmtId="0" fontId="11" fillId="0" borderId="73" xfId="0" applyFont="1" applyBorder="1" applyAlignment="1">
      <alignment horizontal="left" vertical="justify"/>
    </xf>
    <xf numFmtId="0" fontId="11" fillId="0" borderId="12" xfId="0" applyFont="1" applyBorder="1" applyAlignment="1">
      <alignment horizontal="left" vertical="justify"/>
    </xf>
    <xf numFmtId="0" fontId="11" fillId="0" borderId="15" xfId="0" applyFont="1" applyBorder="1" applyAlignment="1">
      <alignment horizontal="left" vertical="justify"/>
    </xf>
    <xf numFmtId="0" fontId="11" fillId="0" borderId="13" xfId="0" applyFont="1" applyBorder="1" applyAlignment="1">
      <alignment horizontal="left" vertical="justify"/>
    </xf>
    <xf numFmtId="0" fontId="12" fillId="0" borderId="2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" fontId="12" fillId="0" borderId="52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2" fillId="0" borderId="5" xfId="0" applyFont="1" applyBorder="1" applyAlignment="1">
      <alignment horizontal="center" vertical="justify"/>
    </xf>
    <xf numFmtId="0" fontId="12" fillId="0" borderId="7" xfId="0" applyFont="1" applyBorder="1" applyAlignment="1">
      <alignment horizontal="center" vertical="justify"/>
    </xf>
    <xf numFmtId="0" fontId="12" fillId="0" borderId="6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justify"/>
    </xf>
    <xf numFmtId="0" fontId="11" fillId="0" borderId="23" xfId="0" applyFont="1" applyBorder="1" applyAlignment="1">
      <alignment horizontal="left" vertical="justify"/>
    </xf>
    <xf numFmtId="0" fontId="11" fillId="0" borderId="70" xfId="0" applyFont="1" applyBorder="1" applyAlignment="1">
      <alignment horizontal="left" vertical="justify"/>
    </xf>
    <xf numFmtId="0" fontId="12" fillId="0" borderId="0" xfId="0" applyFont="1" applyAlignment="1">
      <alignment horizontal="center" vertical="center"/>
    </xf>
    <xf numFmtId="0" fontId="12" fillId="0" borderId="72" xfId="0" applyFont="1" applyBorder="1" applyAlignment="1">
      <alignment horizontal="left" vertical="justify"/>
    </xf>
    <xf numFmtId="0" fontId="12" fillId="0" borderId="24" xfId="0" applyFont="1" applyBorder="1" applyAlignment="1">
      <alignment horizontal="left" vertical="justify"/>
    </xf>
    <xf numFmtId="0" fontId="12" fillId="0" borderId="73" xfId="0" applyFont="1" applyBorder="1" applyAlignment="1">
      <alignment horizontal="left" vertical="justify"/>
    </xf>
    <xf numFmtId="0" fontId="12" fillId="0" borderId="12" xfId="0" applyFont="1" applyBorder="1" applyAlignment="1">
      <alignment horizontal="left" vertical="justify"/>
    </xf>
    <xf numFmtId="0" fontId="12" fillId="0" borderId="15" xfId="0" applyFont="1" applyBorder="1" applyAlignment="1">
      <alignment horizontal="left" vertical="justify"/>
    </xf>
    <xf numFmtId="0" fontId="12" fillId="0" borderId="13" xfId="0" applyFont="1" applyBorder="1" applyAlignment="1">
      <alignment horizontal="left" vertical="justify"/>
    </xf>
    <xf numFmtId="0" fontId="12" fillId="0" borderId="72" xfId="0" applyFont="1" applyBorder="1" applyAlignment="1">
      <alignment horizontal="left" vertical="justify" wrapText="1"/>
    </xf>
    <xf numFmtId="4" fontId="12" fillId="0" borderId="5" xfId="0" applyNumberFormat="1" applyFont="1" applyBorder="1" applyAlignment="1">
      <alignment horizontal="center" vertical="justify"/>
    </xf>
    <xf numFmtId="4" fontId="12" fillId="0" borderId="7" xfId="0" applyNumberFormat="1" applyFont="1" applyBorder="1" applyAlignment="1">
      <alignment horizontal="center" vertical="justify"/>
    </xf>
    <xf numFmtId="4" fontId="17" fillId="0" borderId="41" xfId="0" applyNumberFormat="1" applyFont="1" applyBorder="1" applyAlignment="1">
      <alignment horizontal="left"/>
    </xf>
    <xf numFmtId="4" fontId="17" fillId="0" borderId="40" xfId="0" applyNumberFormat="1" applyFont="1" applyBorder="1" applyAlignment="1">
      <alignment horizontal="left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left" vertical="center" wrapText="1"/>
    </xf>
    <xf numFmtId="49" fontId="20" fillId="0" borderId="34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166" fontId="11" fillId="2" borderId="44" xfId="0" applyNumberFormat="1" applyFont="1" applyFill="1" applyBorder="1" applyAlignment="1">
      <alignment horizontal="left" vertical="center"/>
    </xf>
    <xf numFmtId="0" fontId="8" fillId="0" borderId="25" xfId="4" applyFont="1" applyBorder="1" applyAlignment="1" applyProtection="1">
      <alignment horizontal="center" vertical="center"/>
      <protection locked="0"/>
    </xf>
    <xf numFmtId="0" fontId="8" fillId="0" borderId="24" xfId="4" applyFont="1" applyBorder="1" applyAlignment="1" applyProtection="1">
      <alignment horizontal="center" vertical="center"/>
      <protection locked="0"/>
    </xf>
    <xf numFmtId="0" fontId="8" fillId="0" borderId="23" xfId="4" applyFont="1" applyBorder="1" applyAlignment="1" applyProtection="1">
      <alignment horizontal="center" vertical="center"/>
      <protection locked="0"/>
    </xf>
    <xf numFmtId="0" fontId="11" fillId="0" borderId="89" xfId="0" applyFont="1" applyBorder="1" applyAlignment="1">
      <alignment horizontal="center" vertical="top"/>
    </xf>
    <xf numFmtId="0" fontId="0" fillId="0" borderId="119" xfId="0" applyBorder="1" applyAlignment="1">
      <alignment horizontal="center" vertical="top"/>
    </xf>
    <xf numFmtId="0" fontId="11" fillId="0" borderId="119" xfId="0" applyFont="1" applyBorder="1" applyAlignment="1">
      <alignment horizontal="center" vertical="center"/>
    </xf>
    <xf numFmtId="0" fontId="0" fillId="0" borderId="119" xfId="0" applyBorder="1" applyAlignment="1">
      <alignment horizontal="center"/>
    </xf>
    <xf numFmtId="4" fontId="5" fillId="0" borderId="119" xfId="0" applyNumberFormat="1" applyFont="1" applyBorder="1"/>
    <xf numFmtId="4" fontId="5" fillId="0" borderId="124" xfId="0" applyNumberFormat="1" applyFont="1" applyBorder="1"/>
    <xf numFmtId="4" fontId="5" fillId="0" borderId="4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justify"/>
    </xf>
    <xf numFmtId="49" fontId="25" fillId="5" borderId="57" xfId="0" applyNumberFormat="1" applyFont="1" applyFill="1" applyBorder="1" applyAlignment="1">
      <alignment horizontal="center" vertical="center"/>
    </xf>
    <xf numFmtId="49" fontId="3" fillId="5" borderId="45" xfId="0" applyNumberFormat="1" applyFont="1" applyFill="1" applyBorder="1" applyAlignment="1">
      <alignment horizontal="center" vertical="center"/>
    </xf>
    <xf numFmtId="49" fontId="3" fillId="5" borderId="61" xfId="0" applyNumberFormat="1" applyFont="1" applyFill="1" applyBorder="1" applyAlignment="1">
      <alignment horizontal="center" vertical="center"/>
    </xf>
    <xf numFmtId="49" fontId="1" fillId="5" borderId="57" xfId="0" applyNumberFormat="1" applyFont="1" applyFill="1" applyBorder="1" applyAlignment="1">
      <alignment horizontal="center" vertical="center" wrapText="1"/>
    </xf>
    <xf numFmtId="49" fontId="3" fillId="5" borderId="108" xfId="0" applyNumberFormat="1" applyFont="1" applyFill="1" applyBorder="1" applyAlignment="1">
      <alignment horizontal="center" vertical="center"/>
    </xf>
    <xf numFmtId="168" fontId="0" fillId="7" borderId="108" xfId="11" applyNumberFormat="1" applyFont="1" applyFill="1" applyBorder="1" applyAlignment="1">
      <alignment horizontal="right" vertical="center"/>
    </xf>
  </cellXfs>
  <cellStyles count="13">
    <cellStyle name="Moeda" xfId="1" builtinId="4"/>
    <cellStyle name="Moeda 2" xfId="11"/>
    <cellStyle name="Normal" xfId="0" builtinId="0"/>
    <cellStyle name="Normal 2" xfId="5"/>
    <cellStyle name="Normal 3" xfId="9"/>
    <cellStyle name="Normal 4" xfId="4"/>
    <cellStyle name="Porcentagem" xfId="2" builtinId="5"/>
    <cellStyle name="Porcentagem 2" xfId="6"/>
    <cellStyle name="Porcentagem 3" xfId="7"/>
    <cellStyle name="Porcentagem 4" xfId="12"/>
    <cellStyle name="Separador de milhares 2" xfId="8"/>
    <cellStyle name="Separador de milhares 2 2" xfId="10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536575</xdr:colOff>
      <xdr:row>0</xdr:row>
      <xdr:rowOff>19050</xdr:rowOff>
    </xdr:from>
    <xdr:to>
      <xdr:col>7</xdr:col>
      <xdr:colOff>542925</xdr:colOff>
      <xdr:row>1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079625" y="19050"/>
          <a:ext cx="7854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PREFEITURA MUNICIPAL DE MONTALVÂNIA - MG</a:t>
          </a:r>
          <a:endParaRPr lang="pt-BR" sz="16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CNPJ: 17.097.791/0001-12</a:t>
          </a: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Av. Confúcio, 1150 – Centro – Montalvânia – MG</a:t>
          </a: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Telef. (38) 3614-1537 – 3614-1429 – Fax: (38) 3614-1600</a:t>
          </a:r>
        </a:p>
        <a:p>
          <a:pPr algn="ctr"/>
          <a:r>
            <a:rPr lang="pt-BR" sz="1200" b="1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www.montalvania.mg.gov.br</a:t>
          </a:r>
          <a:endParaRPr lang="pt-BR" sz="12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342900</xdr:colOff>
      <xdr:row>47</xdr:row>
      <xdr:rowOff>9525</xdr:rowOff>
    </xdr:from>
    <xdr:to>
      <xdr:col>2</xdr:col>
      <xdr:colOff>2895600</xdr:colOff>
      <xdr:row>47</xdr:row>
      <xdr:rowOff>19050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1885950" y="15135225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46</xdr:row>
      <xdr:rowOff>133350</xdr:rowOff>
    </xdr:from>
    <xdr:to>
      <xdr:col>7</xdr:col>
      <xdr:colOff>19050</xdr:colOff>
      <xdr:row>46</xdr:row>
      <xdr:rowOff>142875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 flipV="1">
          <a:off x="6858000" y="14211300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38100</xdr:rowOff>
        </xdr:from>
        <xdr:to>
          <xdr:col>2</xdr:col>
          <xdr:colOff>304800</xdr:colOff>
          <xdr:row>0</xdr:row>
          <xdr:rowOff>742950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57150</xdr:colOff>
      <xdr:row>0</xdr:row>
      <xdr:rowOff>38100</xdr:rowOff>
    </xdr:from>
    <xdr:to>
      <xdr:col>2</xdr:col>
      <xdr:colOff>381000</xdr:colOff>
      <xdr:row>0</xdr:row>
      <xdr:rowOff>1114425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8100"/>
          <a:ext cx="1257300" cy="1076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39</xdr:row>
      <xdr:rowOff>76200</xdr:rowOff>
    </xdr:from>
    <xdr:to>
      <xdr:col>2</xdr:col>
      <xdr:colOff>3857625</xdr:colOff>
      <xdr:row>39</xdr:row>
      <xdr:rowOff>85725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2066925" y="14573250"/>
          <a:ext cx="33242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679174</xdr:colOff>
      <xdr:row>155</xdr:row>
      <xdr:rowOff>91108</xdr:rowOff>
    </xdr:from>
    <xdr:to>
      <xdr:col>5</xdr:col>
      <xdr:colOff>273326</xdr:colOff>
      <xdr:row>155</xdr:row>
      <xdr:rowOff>99391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1548848" y="41545565"/>
          <a:ext cx="2824369" cy="82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0</xdr:rowOff>
    </xdr:from>
    <xdr:to>
      <xdr:col>7</xdr:col>
      <xdr:colOff>0</xdr:colOff>
      <xdr:row>0</xdr:row>
      <xdr:rowOff>638175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0"/>
          <a:ext cx="38481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25</xdr:row>
      <xdr:rowOff>0</xdr:rowOff>
    </xdr:from>
    <xdr:to>
      <xdr:col>7</xdr:col>
      <xdr:colOff>0</xdr:colOff>
      <xdr:row>28</xdr:row>
      <xdr:rowOff>73353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6638925"/>
          <a:ext cx="6657100" cy="559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endParaRPr lang="pt-BR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203200</xdr:colOff>
      <xdr:row>22</xdr:row>
      <xdr:rowOff>0</xdr:rowOff>
    </xdr:from>
    <xdr:to>
      <xdr:col>2</xdr:col>
      <xdr:colOff>2565400</xdr:colOff>
      <xdr:row>22</xdr:row>
      <xdr:rowOff>6351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CxnSpPr/>
      </xdr:nvCxnSpPr>
      <xdr:spPr>
        <a:xfrm flipV="1">
          <a:off x="914400" y="7162800"/>
          <a:ext cx="3048000" cy="63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21</xdr:row>
      <xdr:rowOff>133350</xdr:rowOff>
    </xdr:from>
    <xdr:to>
      <xdr:col>7</xdr:col>
      <xdr:colOff>0</xdr:colOff>
      <xdr:row>21</xdr:row>
      <xdr:rowOff>142875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 flipV="1">
          <a:off x="6858000" y="16087725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1409700</xdr:colOff>
      <xdr:row>0</xdr:row>
      <xdr:rowOff>19050</xdr:rowOff>
    </xdr:from>
    <xdr:to>
      <xdr:col>7</xdr:col>
      <xdr:colOff>0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800350" y="19050"/>
          <a:ext cx="6705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PREFEITURA MUNICIPAL DE MONTALVÂNIA - MG</a:t>
          </a:r>
          <a:endParaRPr lang="pt-BR" sz="16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CNPJ: 17.097.791/0001-12</a:t>
          </a: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Av. Confúcio, 1150 – Centro – Montalvânia – MG</a:t>
          </a:r>
        </a:p>
        <a:p>
          <a:pPr algn="ctr"/>
          <a:r>
            <a:rPr lang="pt-BR" sz="1200">
              <a:effectLst/>
              <a:latin typeface="+mn-lt"/>
              <a:ea typeface="+mn-ea"/>
              <a:cs typeface="+mn-cs"/>
            </a:rPr>
            <a:t>Telef. (38) 3614-1537 – 3614-1429 – Fax: (38) 3614-1600</a:t>
          </a:r>
        </a:p>
        <a:p>
          <a:pPr algn="ctr"/>
          <a:r>
            <a:rPr lang="pt-BR" sz="1200" b="1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www.montalvania.mg.gov.br</a:t>
          </a:r>
          <a:endParaRPr lang="pt-BR" sz="12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276225</xdr:colOff>
      <xdr:row>0</xdr:row>
      <xdr:rowOff>19050</xdr:rowOff>
    </xdr:from>
    <xdr:to>
      <xdr:col>1</xdr:col>
      <xdr:colOff>581025</xdr:colOff>
      <xdr:row>0</xdr:row>
      <xdr:rowOff>685800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"/>
          <a:ext cx="10096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/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ht="25.5" x14ac:dyDescent="0.2">
      <c r="B1" s="2" t="s">
        <v>15</v>
      </c>
      <c r="C1" s="2"/>
      <c r="D1" s="6"/>
      <c r="E1" s="6"/>
    </row>
    <row r="2" spans="2:5" x14ac:dyDescent="0.2">
      <c r="B2" s="2" t="s">
        <v>16</v>
      </c>
      <c r="C2" s="2"/>
      <c r="D2" s="6"/>
      <c r="E2" s="6"/>
    </row>
    <row r="3" spans="2:5" x14ac:dyDescent="0.2">
      <c r="B3" s="3"/>
      <c r="C3" s="3"/>
      <c r="D3" s="7"/>
      <c r="E3" s="7"/>
    </row>
    <row r="4" spans="2:5" ht="38.25" x14ac:dyDescent="0.2">
      <c r="B4" s="3" t="s">
        <v>17</v>
      </c>
      <c r="C4" s="3"/>
      <c r="D4" s="7"/>
      <c r="E4" s="7"/>
    </row>
    <row r="5" spans="2:5" x14ac:dyDescent="0.2">
      <c r="B5" s="3"/>
      <c r="C5" s="3"/>
      <c r="D5" s="7"/>
      <c r="E5" s="7"/>
    </row>
    <row r="6" spans="2:5" ht="25.5" x14ac:dyDescent="0.2">
      <c r="B6" s="2" t="s">
        <v>18</v>
      </c>
      <c r="C6" s="2"/>
      <c r="D6" s="6"/>
      <c r="E6" s="6" t="s">
        <v>19</v>
      </c>
    </row>
    <row r="7" spans="2:5" ht="13.5" thickBot="1" x14ac:dyDescent="0.25">
      <c r="B7" s="3"/>
      <c r="C7" s="3"/>
      <c r="D7" s="7"/>
      <c r="E7" s="7"/>
    </row>
    <row r="8" spans="2:5" ht="39" thickBot="1" x14ac:dyDescent="0.25">
      <c r="B8" s="4" t="s">
        <v>20</v>
      </c>
      <c r="C8" s="5"/>
      <c r="D8" s="8"/>
      <c r="E8" s="9">
        <v>3</v>
      </c>
    </row>
    <row r="9" spans="2:5" x14ac:dyDescent="0.2">
      <c r="B9" s="3"/>
      <c r="C9" s="3"/>
      <c r="D9" s="7"/>
      <c r="E9" s="7"/>
    </row>
    <row r="10" spans="2:5" x14ac:dyDescent="0.2">
      <c r="B10" s="3"/>
      <c r="C10" s="3"/>
      <c r="D10" s="7"/>
      <c r="E10" s="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"/>
  <sheetViews>
    <sheetView tabSelected="1" topLeftCell="A4" workbookViewId="0">
      <selection activeCell="N20" sqref="N20"/>
    </sheetView>
  </sheetViews>
  <sheetFormatPr defaultRowHeight="12.75" x14ac:dyDescent="0.2"/>
  <cols>
    <col min="8" max="8" width="8.140625" bestFit="1" customWidth="1"/>
    <col min="10" max="10" width="37.140625" bestFit="1" customWidth="1"/>
  </cols>
  <sheetData>
    <row r="1" spans="2:12" ht="13.5" thickBot="1" x14ac:dyDescent="0.25"/>
    <row r="2" spans="2:12" ht="20.25" thickTop="1" thickBot="1" x14ac:dyDescent="0.35">
      <c r="B2" s="357" t="s">
        <v>291</v>
      </c>
      <c r="C2" s="358"/>
      <c r="D2" s="358"/>
      <c r="E2" s="358"/>
      <c r="F2" s="349"/>
      <c r="G2" s="288"/>
      <c r="H2" s="289"/>
      <c r="I2" s="289"/>
    </row>
    <row r="3" spans="2:12" ht="14.25" thickTop="1" thickBot="1" x14ac:dyDescent="0.25">
      <c r="B3" s="288"/>
      <c r="C3" s="288"/>
      <c r="D3" s="288"/>
      <c r="E3" s="288"/>
      <c r="F3" s="288"/>
      <c r="G3" s="288"/>
      <c r="H3" s="183"/>
    </row>
    <row r="4" spans="2:12" ht="16.5" thickTop="1" thickBot="1" x14ac:dyDescent="0.25">
      <c r="B4" s="359" t="s">
        <v>292</v>
      </c>
      <c r="C4" s="360"/>
      <c r="D4" s="360"/>
      <c r="E4" s="360"/>
      <c r="F4" s="361"/>
      <c r="G4" s="288"/>
      <c r="H4" s="359" t="s">
        <v>293</v>
      </c>
      <c r="I4" s="360"/>
      <c r="J4" s="360"/>
      <c r="K4" s="360"/>
      <c r="L4" s="361"/>
    </row>
    <row r="5" spans="2:12" ht="13.5" thickBot="1" x14ac:dyDescent="0.25">
      <c r="B5" s="362" t="s">
        <v>294</v>
      </c>
      <c r="C5" s="363"/>
      <c r="D5" s="363"/>
      <c r="E5" s="363"/>
      <c r="F5" s="350"/>
      <c r="G5" s="183"/>
      <c r="H5" s="364" t="s">
        <v>295</v>
      </c>
      <c r="I5" s="365"/>
      <c r="J5" s="365"/>
      <c r="K5" s="365"/>
      <c r="L5" s="366"/>
    </row>
    <row r="6" spans="2:12" ht="13.5" thickBot="1" x14ac:dyDescent="0.25">
      <c r="B6" s="362" t="s">
        <v>296</v>
      </c>
      <c r="C6" s="363"/>
      <c r="D6" s="363"/>
      <c r="E6" s="363"/>
      <c r="F6" s="350"/>
      <c r="G6" s="183"/>
      <c r="H6" s="364"/>
      <c r="I6" s="365"/>
      <c r="J6" s="365"/>
      <c r="K6" s="365"/>
      <c r="L6" s="366"/>
    </row>
    <row r="7" spans="2:12" ht="13.5" thickBot="1" x14ac:dyDescent="0.25">
      <c r="B7" s="362" t="s">
        <v>297</v>
      </c>
      <c r="C7" s="363"/>
      <c r="D7" s="363"/>
      <c r="E7" s="363"/>
      <c r="F7" s="350"/>
      <c r="G7" s="183"/>
      <c r="H7" s="364"/>
      <c r="I7" s="365"/>
      <c r="J7" s="365"/>
      <c r="K7" s="365"/>
      <c r="L7" s="366"/>
    </row>
    <row r="8" spans="2:12" ht="13.5" thickBot="1" x14ac:dyDescent="0.25">
      <c r="B8" s="362" t="s">
        <v>298</v>
      </c>
      <c r="C8" s="363"/>
      <c r="D8" s="363"/>
      <c r="E8" s="363"/>
      <c r="F8" s="350"/>
      <c r="G8" s="183"/>
      <c r="H8" s="364"/>
      <c r="I8" s="365"/>
      <c r="J8" s="365"/>
      <c r="K8" s="365"/>
      <c r="L8" s="366"/>
    </row>
    <row r="9" spans="2:12" ht="13.5" thickBot="1" x14ac:dyDescent="0.25">
      <c r="B9" s="362" t="s">
        <v>299</v>
      </c>
      <c r="C9" s="363"/>
      <c r="D9" s="363"/>
      <c r="E9" s="363"/>
      <c r="F9" s="350"/>
      <c r="G9" s="183"/>
      <c r="H9" s="364"/>
      <c r="I9" s="365"/>
      <c r="J9" s="365"/>
      <c r="K9" s="365"/>
      <c r="L9" s="366"/>
    </row>
    <row r="10" spans="2:12" ht="13.5" thickBot="1" x14ac:dyDescent="0.25">
      <c r="B10" s="370" t="s">
        <v>300</v>
      </c>
      <c r="C10" s="371"/>
      <c r="D10" s="371"/>
      <c r="E10" s="371"/>
      <c r="F10" s="351"/>
      <c r="G10" s="183"/>
      <c r="H10" s="367"/>
      <c r="I10" s="368"/>
      <c r="J10" s="368"/>
      <c r="K10" s="368"/>
      <c r="L10" s="369"/>
    </row>
    <row r="11" spans="2:12" ht="14.25" thickTop="1" thickBot="1" x14ac:dyDescent="0.25"/>
    <row r="12" spans="2:12" ht="18.75" thickBot="1" x14ac:dyDescent="0.25">
      <c r="H12" s="377" t="s">
        <v>301</v>
      </c>
      <c r="I12" s="378"/>
      <c r="J12" s="378"/>
      <c r="K12" s="379"/>
    </row>
    <row r="13" spans="2:12" ht="14.25" thickTop="1" thickBot="1" x14ac:dyDescent="0.25">
      <c r="B13" s="380" t="s">
        <v>249</v>
      </c>
      <c r="C13" s="383" t="s">
        <v>250</v>
      </c>
      <c r="D13" s="384"/>
      <c r="H13" s="385" t="s">
        <v>138</v>
      </c>
      <c r="I13" s="386"/>
      <c r="J13" s="386"/>
      <c r="K13" s="387"/>
    </row>
    <row r="14" spans="2:12" ht="17.25" thickTop="1" thickBot="1" x14ac:dyDescent="0.25">
      <c r="B14" s="381"/>
      <c r="C14" s="388" t="s">
        <v>251</v>
      </c>
      <c r="D14" s="389"/>
      <c r="H14" s="352" t="s">
        <v>139</v>
      </c>
      <c r="I14" s="353" t="s">
        <v>140</v>
      </c>
      <c r="J14" s="354" t="s">
        <v>141</v>
      </c>
      <c r="K14" s="355"/>
    </row>
    <row r="15" spans="2:12" ht="17.25" thickTop="1" thickBot="1" x14ac:dyDescent="0.25">
      <c r="B15" s="382"/>
      <c r="C15" s="390" t="s">
        <v>252</v>
      </c>
      <c r="D15" s="391"/>
      <c r="H15" s="115"/>
      <c r="I15" s="116" t="s">
        <v>142</v>
      </c>
      <c r="J15" s="117" t="s">
        <v>143</v>
      </c>
      <c r="K15" s="118">
        <v>4.6730000000000001E-2</v>
      </c>
    </row>
    <row r="16" spans="2:12" ht="16.5" thickTop="1" x14ac:dyDescent="0.2">
      <c r="H16" s="115"/>
      <c r="I16" s="116" t="s">
        <v>144</v>
      </c>
      <c r="J16" s="117" t="s">
        <v>145</v>
      </c>
      <c r="K16" s="118">
        <v>7.4000000000000003E-3</v>
      </c>
    </row>
    <row r="17" spans="7:11" ht="15.75" x14ac:dyDescent="0.2">
      <c r="H17" s="115"/>
      <c r="I17" s="116" t="s">
        <v>146</v>
      </c>
      <c r="J17" s="117" t="s">
        <v>147</v>
      </c>
      <c r="K17" s="118">
        <v>9.7000000000000003E-3</v>
      </c>
    </row>
    <row r="18" spans="7:11" ht="15.75" x14ac:dyDescent="0.2">
      <c r="H18" s="115"/>
      <c r="I18" s="116"/>
      <c r="J18" s="117"/>
      <c r="K18" s="118"/>
    </row>
    <row r="19" spans="7:11" ht="15.75" x14ac:dyDescent="0.2">
      <c r="H19" s="119"/>
      <c r="I19" s="120"/>
      <c r="J19" s="121" t="s">
        <v>148</v>
      </c>
      <c r="K19" s="122">
        <f>SUM(K15:K18)</f>
        <v>6.3829999999999998E-2</v>
      </c>
    </row>
    <row r="20" spans="7:11" ht="15.75" x14ac:dyDescent="0.2">
      <c r="H20" s="123"/>
      <c r="I20" s="124"/>
      <c r="J20" s="125"/>
      <c r="K20" s="126"/>
    </row>
    <row r="21" spans="7:11" ht="15.75" x14ac:dyDescent="0.2">
      <c r="H21" s="127" t="s">
        <v>139</v>
      </c>
      <c r="I21" s="128" t="s">
        <v>149</v>
      </c>
      <c r="J21" s="129" t="s">
        <v>150</v>
      </c>
      <c r="K21" s="130"/>
    </row>
    <row r="22" spans="7:11" ht="15.75" x14ac:dyDescent="0.2">
      <c r="H22" s="131"/>
      <c r="I22" s="132" t="s">
        <v>151</v>
      </c>
      <c r="J22" s="117" t="s">
        <v>152</v>
      </c>
      <c r="K22" s="118">
        <v>7.5300000000000006E-2</v>
      </c>
    </row>
    <row r="23" spans="7:11" ht="15.75" x14ac:dyDescent="0.2">
      <c r="H23" s="119"/>
      <c r="I23" s="133"/>
      <c r="J23" s="134" t="s">
        <v>153</v>
      </c>
      <c r="K23" s="122">
        <v>7.5300000000000006E-2</v>
      </c>
    </row>
    <row r="24" spans="7:11" ht="15.75" x14ac:dyDescent="0.2">
      <c r="H24" s="123"/>
      <c r="I24" s="124"/>
      <c r="J24" s="125"/>
      <c r="K24" s="126"/>
    </row>
    <row r="25" spans="7:11" ht="15.75" x14ac:dyDescent="0.2">
      <c r="H25" s="127" t="s">
        <v>139</v>
      </c>
      <c r="I25" s="135" t="s">
        <v>154</v>
      </c>
      <c r="J25" s="136" t="s">
        <v>155</v>
      </c>
      <c r="K25" s="137"/>
    </row>
    <row r="26" spans="7:11" ht="15.75" x14ac:dyDescent="0.25">
      <c r="G26" s="356"/>
      <c r="H26" s="131"/>
      <c r="I26" s="116" t="s">
        <v>156</v>
      </c>
      <c r="J26" s="138" t="s">
        <v>157</v>
      </c>
      <c r="K26" s="139">
        <v>6.4999999999999997E-3</v>
      </c>
    </row>
    <row r="27" spans="7:11" ht="15.75" x14ac:dyDescent="0.2">
      <c r="H27" s="131"/>
      <c r="I27" s="116" t="s">
        <v>158</v>
      </c>
      <c r="J27" s="138" t="s">
        <v>159</v>
      </c>
      <c r="K27" s="139">
        <v>0.03</v>
      </c>
    </row>
    <row r="28" spans="7:11" ht="15.75" x14ac:dyDescent="0.2">
      <c r="H28" s="131"/>
      <c r="I28" s="116" t="s">
        <v>160</v>
      </c>
      <c r="J28" s="138" t="s">
        <v>161</v>
      </c>
      <c r="K28" s="139">
        <v>2.1000000000000001E-2</v>
      </c>
    </row>
    <row r="29" spans="7:11" ht="15.75" x14ac:dyDescent="0.2">
      <c r="H29" s="170"/>
      <c r="I29" s="171" t="s">
        <v>173</v>
      </c>
      <c r="J29" s="172" t="s">
        <v>175</v>
      </c>
      <c r="K29" s="173">
        <v>4.4999999999999998E-2</v>
      </c>
    </row>
    <row r="30" spans="7:11" ht="15.75" x14ac:dyDescent="0.2">
      <c r="H30" s="119"/>
      <c r="I30" s="140"/>
      <c r="J30" s="134" t="s">
        <v>162</v>
      </c>
      <c r="K30" s="122">
        <f>SUM(K26:K28)</f>
        <v>5.7499999999999996E-2</v>
      </c>
    </row>
    <row r="31" spans="7:11" ht="15.75" x14ac:dyDescent="0.2">
      <c r="H31" s="123"/>
      <c r="I31" s="141"/>
      <c r="J31" s="124"/>
      <c r="K31" s="142"/>
    </row>
    <row r="32" spans="7:11" ht="15.75" x14ac:dyDescent="0.2">
      <c r="H32" s="127" t="s">
        <v>139</v>
      </c>
      <c r="I32" s="135" t="s">
        <v>163</v>
      </c>
      <c r="J32" s="136" t="s">
        <v>164</v>
      </c>
      <c r="K32" s="137"/>
    </row>
    <row r="33" spans="8:11" ht="15.75" x14ac:dyDescent="0.2">
      <c r="H33" s="143"/>
      <c r="I33" s="144"/>
      <c r="J33" s="145" t="s">
        <v>164</v>
      </c>
      <c r="K33" s="146">
        <v>7.6E-3</v>
      </c>
    </row>
    <row r="34" spans="8:11" ht="15.75" x14ac:dyDescent="0.2">
      <c r="H34" s="147"/>
      <c r="I34" s="121"/>
      <c r="J34" s="134" t="s">
        <v>165</v>
      </c>
      <c r="K34" s="148">
        <v>7.6E-3</v>
      </c>
    </row>
    <row r="35" spans="8:11" ht="15.75" x14ac:dyDescent="0.2">
      <c r="H35" s="149"/>
      <c r="I35" s="150"/>
      <c r="J35" s="151"/>
      <c r="K35" s="152"/>
    </row>
    <row r="36" spans="8:11" ht="15" x14ac:dyDescent="0.2">
      <c r="H36" s="372" t="s">
        <v>166</v>
      </c>
      <c r="I36" s="373"/>
      <c r="J36" s="373"/>
      <c r="K36" s="374"/>
    </row>
    <row r="37" spans="8:11" ht="15.75" x14ac:dyDescent="0.2">
      <c r="H37" s="375" t="s">
        <v>167</v>
      </c>
      <c r="I37" s="376"/>
      <c r="J37" s="376"/>
      <c r="K37" s="153">
        <f>ROUND((((1+K15+K16+K17)*(1+K34)*(1+K23))/(1-(K30+K29))-1),4)</f>
        <v>0.2843</v>
      </c>
    </row>
    <row r="38" spans="8:11" ht="15.75" x14ac:dyDescent="0.2">
      <c r="H38" s="154"/>
      <c r="I38" s="150"/>
      <c r="J38" s="155" t="s">
        <v>174</v>
      </c>
      <c r="K38" s="156"/>
    </row>
    <row r="39" spans="8:11" ht="15.75" x14ac:dyDescent="0.2">
      <c r="H39" s="154"/>
      <c r="I39" s="150"/>
      <c r="J39" s="155"/>
      <c r="K39" s="156"/>
    </row>
    <row r="40" spans="8:11" ht="15.75" x14ac:dyDescent="0.2">
      <c r="H40" s="154"/>
      <c r="I40" s="150"/>
      <c r="J40" s="155"/>
      <c r="K40" s="156"/>
    </row>
    <row r="41" spans="8:11" ht="15.75" x14ac:dyDescent="0.2">
      <c r="H41" s="154"/>
      <c r="I41" s="150"/>
      <c r="J41" s="155"/>
      <c r="K41" s="156"/>
    </row>
    <row r="42" spans="8:11" x14ac:dyDescent="0.2">
      <c r="H42" s="157"/>
      <c r="I42" s="158"/>
      <c r="J42" s="159" t="s">
        <v>168</v>
      </c>
      <c r="K42" s="160"/>
    </row>
    <row r="43" spans="8:11" x14ac:dyDescent="0.2">
      <c r="H43" s="157"/>
      <c r="I43" s="158"/>
      <c r="J43" s="161" t="s">
        <v>203</v>
      </c>
      <c r="K43" s="160"/>
    </row>
    <row r="44" spans="8:11" x14ac:dyDescent="0.2">
      <c r="H44" s="157"/>
      <c r="I44" s="158"/>
      <c r="J44" s="162" t="s">
        <v>169</v>
      </c>
      <c r="K44" s="160"/>
    </row>
    <row r="45" spans="8:11" ht="13.5" thickBot="1" x14ac:dyDescent="0.25">
      <c r="H45" s="163"/>
      <c r="I45" s="164"/>
      <c r="J45" s="165" t="s">
        <v>204</v>
      </c>
      <c r="K45" s="166"/>
    </row>
  </sheetData>
  <mergeCells count="18">
    <mergeCell ref="H36:K36"/>
    <mergeCell ref="H37:J37"/>
    <mergeCell ref="H12:K12"/>
    <mergeCell ref="B13:B15"/>
    <mergeCell ref="C13:D13"/>
    <mergeCell ref="H13:K13"/>
    <mergeCell ref="C14:D14"/>
    <mergeCell ref="C15:D15"/>
    <mergeCell ref="B2:E2"/>
    <mergeCell ref="B4:F4"/>
    <mergeCell ref="H4:L4"/>
    <mergeCell ref="B5:E5"/>
    <mergeCell ref="H5:L10"/>
    <mergeCell ref="B6:E6"/>
    <mergeCell ref="B7:E7"/>
    <mergeCell ref="B8:E8"/>
    <mergeCell ref="B9:E9"/>
    <mergeCell ref="B10:E10"/>
  </mergeCells>
  <pageMargins left="0.511811024" right="0.511811024" top="0.78740157499999996" bottom="0.78740157499999996" header="0.31496062000000002" footer="0.31496062000000002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="90" zoomScaleNormal="90" workbookViewId="0">
      <selection activeCell="J48" sqref="J48"/>
    </sheetView>
  </sheetViews>
  <sheetFormatPr defaultRowHeight="12.75" x14ac:dyDescent="0.2"/>
  <cols>
    <col min="1" max="1" width="13.28515625" bestFit="1" customWidth="1"/>
    <col min="2" max="2" width="24.28515625" bestFit="1" customWidth="1"/>
    <col min="3" max="3" width="21" bestFit="1" customWidth="1"/>
    <col min="4" max="4" width="62" bestFit="1" customWidth="1"/>
    <col min="5" max="5" width="8.28515625" bestFit="1" customWidth="1"/>
    <col min="6" max="6" width="15.5703125" customWidth="1"/>
    <col min="7" max="7" width="16.85546875" bestFit="1" customWidth="1"/>
    <col min="8" max="8" width="9.85546875" bestFit="1" customWidth="1"/>
    <col min="9" max="9" width="13.140625" customWidth="1"/>
    <col min="10" max="10" width="17.5703125" customWidth="1"/>
    <col min="11" max="11" width="14.85546875" customWidth="1"/>
    <col min="12" max="12" width="11" bestFit="1" customWidth="1"/>
  </cols>
  <sheetData>
    <row r="1" spans="1:11" ht="22.5" thickTop="1" thickBot="1" x14ac:dyDescent="0.25">
      <c r="A1" s="396" t="s">
        <v>229</v>
      </c>
      <c r="B1" s="397"/>
      <c r="C1" s="397"/>
      <c r="D1" s="397"/>
      <c r="E1" s="398"/>
      <c r="F1" s="285" t="s">
        <v>230</v>
      </c>
      <c r="G1" s="286"/>
      <c r="H1" s="285" t="s">
        <v>231</v>
      </c>
      <c r="I1" s="287"/>
      <c r="J1" s="288"/>
      <c r="K1" s="289"/>
    </row>
    <row r="2" spans="1:11" ht="15.75" thickBot="1" x14ac:dyDescent="0.25">
      <c r="A2" s="290" t="s">
        <v>232</v>
      </c>
      <c r="B2" s="399" t="s">
        <v>127</v>
      </c>
      <c r="C2" s="399"/>
      <c r="D2" s="399"/>
      <c r="E2" s="399"/>
      <c r="F2" s="399"/>
      <c r="G2" s="400"/>
      <c r="H2" s="291" t="s">
        <v>233</v>
      </c>
      <c r="I2" s="292"/>
      <c r="J2" s="288"/>
      <c r="K2" s="289"/>
    </row>
    <row r="3" spans="1:11" ht="15.75" thickBot="1" x14ac:dyDescent="0.25">
      <c r="A3" s="290" t="s">
        <v>234</v>
      </c>
      <c r="B3" s="399" t="s">
        <v>302</v>
      </c>
      <c r="C3" s="399"/>
      <c r="D3" s="399"/>
      <c r="E3" s="399"/>
      <c r="F3" s="399"/>
      <c r="G3" s="400"/>
      <c r="H3" s="291" t="s">
        <v>235</v>
      </c>
      <c r="I3" s="293"/>
      <c r="J3" s="288"/>
      <c r="K3" s="289"/>
    </row>
    <row r="4" spans="1:11" ht="15.75" thickBot="1" x14ac:dyDescent="0.25">
      <c r="A4" s="290" t="s">
        <v>236</v>
      </c>
      <c r="B4" s="294"/>
      <c r="C4" s="291" t="s">
        <v>237</v>
      </c>
      <c r="D4" s="401"/>
      <c r="E4" s="402"/>
      <c r="F4" s="291" t="s">
        <v>238</v>
      </c>
      <c r="G4" s="295" t="s">
        <v>239</v>
      </c>
      <c r="H4" s="291" t="s">
        <v>240</v>
      </c>
      <c r="I4" s="296" t="s">
        <v>241</v>
      </c>
      <c r="J4" s="289"/>
      <c r="K4" s="289"/>
    </row>
    <row r="5" spans="1:11" ht="15" x14ac:dyDescent="0.2">
      <c r="A5" s="403" t="s">
        <v>242</v>
      </c>
      <c r="B5" s="405" t="s">
        <v>303</v>
      </c>
      <c r="C5" s="297" t="s">
        <v>243</v>
      </c>
      <c r="D5" s="298" t="s">
        <v>244</v>
      </c>
      <c r="E5" s="299"/>
      <c r="F5" s="392" t="s">
        <v>245</v>
      </c>
      <c r="G5" s="407">
        <f>BDI!D26</f>
        <v>0.2843</v>
      </c>
      <c r="H5" s="392" t="s">
        <v>246</v>
      </c>
      <c r="I5" s="394"/>
      <c r="J5" s="289"/>
      <c r="K5" s="289"/>
    </row>
    <row r="6" spans="1:11" ht="29.25" customHeight="1" thickBot="1" x14ac:dyDescent="0.25">
      <c r="A6" s="404"/>
      <c r="B6" s="406"/>
      <c r="C6" s="300" t="s">
        <v>247</v>
      </c>
      <c r="D6" s="301" t="s">
        <v>248</v>
      </c>
      <c r="E6" s="302"/>
      <c r="F6" s="393"/>
      <c r="G6" s="408"/>
      <c r="H6" s="393"/>
      <c r="I6" s="395"/>
      <c r="J6" s="289"/>
      <c r="K6" s="289"/>
    </row>
    <row r="7" spans="1:11" ht="14.25" thickTop="1" thickBot="1" x14ac:dyDescent="0.25">
      <c r="B7" s="289"/>
      <c r="C7" s="289"/>
      <c r="D7" s="289"/>
      <c r="E7" s="289"/>
      <c r="F7" s="289"/>
      <c r="G7" s="289"/>
      <c r="H7" s="289"/>
      <c r="I7" s="289"/>
      <c r="J7" s="289"/>
      <c r="K7" s="289"/>
    </row>
    <row r="8" spans="1:11" ht="14.25" thickTop="1" thickBot="1" x14ac:dyDescent="0.25">
      <c r="A8" s="380" t="s">
        <v>249</v>
      </c>
      <c r="B8" s="383" t="s">
        <v>250</v>
      </c>
      <c r="C8" s="384"/>
      <c r="D8" s="289"/>
      <c r="E8" s="289"/>
      <c r="F8" s="289"/>
      <c r="G8" s="289"/>
      <c r="H8" s="289"/>
      <c r="I8" s="289"/>
      <c r="K8" s="289"/>
    </row>
    <row r="9" spans="1:11" ht="14.25" thickTop="1" thickBot="1" x14ac:dyDescent="0.25">
      <c r="A9" s="381"/>
      <c r="B9" s="388" t="s">
        <v>251</v>
      </c>
      <c r="C9" s="389"/>
      <c r="D9" s="289"/>
      <c r="E9" s="289"/>
      <c r="F9" s="289"/>
      <c r="G9" s="289"/>
      <c r="H9" s="289"/>
      <c r="I9" s="289"/>
      <c r="K9" s="289"/>
    </row>
    <row r="10" spans="1:11" ht="14.25" thickTop="1" thickBot="1" x14ac:dyDescent="0.25">
      <c r="A10" s="382"/>
      <c r="B10" s="390" t="s">
        <v>252</v>
      </c>
      <c r="C10" s="391"/>
      <c r="J10" s="303"/>
    </row>
    <row r="11" spans="1:11" ht="16.5" thickTop="1" thickBot="1" x14ac:dyDescent="0.25">
      <c r="G11" s="304" t="s">
        <v>253</v>
      </c>
      <c r="K11" s="304" t="s">
        <v>254</v>
      </c>
    </row>
    <row r="12" spans="1:11" ht="15.75" thickBot="1" x14ac:dyDescent="0.25">
      <c r="G12" s="305" t="s">
        <v>255</v>
      </c>
      <c r="K12" s="306">
        <f>SUM(K15:K39)</f>
        <v>132028.74572457533</v>
      </c>
    </row>
    <row r="13" spans="1:11" ht="45.75" thickBot="1" x14ac:dyDescent="0.25">
      <c r="A13" s="304" t="s">
        <v>38</v>
      </c>
      <c r="B13" s="304" t="s">
        <v>70</v>
      </c>
      <c r="C13" s="304" t="s">
        <v>256</v>
      </c>
      <c r="D13" s="307" t="s">
        <v>257</v>
      </c>
      <c r="E13" s="304" t="s">
        <v>39</v>
      </c>
      <c r="F13" s="304" t="s">
        <v>258</v>
      </c>
      <c r="G13" s="304" t="s">
        <v>259</v>
      </c>
      <c r="H13" s="304" t="s">
        <v>196</v>
      </c>
      <c r="I13" s="304" t="s">
        <v>260</v>
      </c>
      <c r="J13" s="307" t="s">
        <v>261</v>
      </c>
      <c r="K13" s="304" t="s">
        <v>78</v>
      </c>
    </row>
    <row r="14" spans="1:11" ht="15.75" thickBot="1" x14ac:dyDescent="0.25">
      <c r="A14" s="344">
        <v>1</v>
      </c>
      <c r="B14" s="308"/>
      <c r="C14" s="308"/>
      <c r="D14" s="309" t="s">
        <v>262</v>
      </c>
      <c r="E14" s="310"/>
      <c r="F14" s="311"/>
      <c r="G14" s="312"/>
      <c r="H14" s="313"/>
      <c r="I14" s="314"/>
      <c r="J14" s="315"/>
      <c r="K14" s="316"/>
    </row>
    <row r="15" spans="1:11" ht="77.25" thickBot="1" x14ac:dyDescent="0.25">
      <c r="A15" s="308" t="s">
        <v>5</v>
      </c>
      <c r="B15" s="308" t="str">
        <f>'PLANILHA OFICIAL '!B17</f>
        <v>ED-28427</v>
      </c>
      <c r="C15" s="308" t="s">
        <v>85</v>
      </c>
      <c r="D15" s="317" t="str">
        <f>'PLANILHA OFICIAL '!C17</f>
        <v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v>
      </c>
      <c r="E15" s="310" t="str">
        <f>'PLANILHA OFICIAL '!D17</f>
        <v>UNID.</v>
      </c>
      <c r="F15" s="318">
        <f>'PLANILHA OFICIAL '!E17</f>
        <v>1</v>
      </c>
      <c r="G15" s="312">
        <f>'PLANILHA OFICIAL '!F17</f>
        <v>1366.74</v>
      </c>
      <c r="H15" s="313">
        <f>G5</f>
        <v>0.2843</v>
      </c>
      <c r="I15" s="314">
        <f>G15</f>
        <v>1366.74</v>
      </c>
      <c r="J15" s="319">
        <f>G15+(G15*H15)</f>
        <v>1755.3041820000001</v>
      </c>
      <c r="K15" s="521">
        <f>J15*F15</f>
        <v>1755.3041820000001</v>
      </c>
    </row>
    <row r="16" spans="1:11" ht="26.25" thickBot="1" x14ac:dyDescent="0.25">
      <c r="A16" s="308" t="s">
        <v>6</v>
      </c>
      <c r="B16" s="308" t="str">
        <f>'PLANILHA OFICIAL '!B18</f>
        <v>ED-50274</v>
      </c>
      <c r="C16" s="308" t="s">
        <v>85</v>
      </c>
      <c r="D16" s="317" t="str">
        <f>'PLANILHA OFICIAL '!C18</f>
        <v>LOCAÇÃO TOPOGRÁFICA PARA ATÉ VINTE (20) PONTOS
REFERENCIAIS, INCLUSIVE ESTACA (PIQUETE) DE MARCAÇÃO</v>
      </c>
      <c r="E16" s="310" t="str">
        <f>'PLANILHA OFICIAL '!D18</f>
        <v>PT</v>
      </c>
      <c r="F16" s="318">
        <f>262/20</f>
        <v>13.1</v>
      </c>
      <c r="G16" s="323">
        <f>'PLANILHA OFICIAL '!F18</f>
        <v>75.37</v>
      </c>
      <c r="H16" s="313">
        <f>G5</f>
        <v>0.2843</v>
      </c>
      <c r="I16" s="314">
        <f>G16</f>
        <v>75.37</v>
      </c>
      <c r="J16" s="319">
        <f>G16+(G16*H16)</f>
        <v>96.797691</v>
      </c>
      <c r="K16" s="521">
        <f>F16*J16</f>
        <v>1268.0497521</v>
      </c>
    </row>
    <row r="17" spans="1:12" ht="51.75" thickBot="1" x14ac:dyDescent="0.25">
      <c r="A17" s="308" t="s">
        <v>199</v>
      </c>
      <c r="B17" s="308" t="str">
        <f>'PLANILHA OFICIAL '!B19</f>
        <v>ED-50392</v>
      </c>
      <c r="C17" s="308" t="s">
        <v>85</v>
      </c>
      <c r="D17" s="317" t="str">
        <f>'PLANILHA OFICIAL '!C19</f>
        <v>MOBILIZAÇÃO E DESMOBILIZAÇÃO DE OBRA EM CENTRO URBANO
OU REGIÃO LIMÍTROFE COM VALOR ATÉ O VALOR DE 1.000.000,00</v>
      </c>
      <c r="E17" s="310" t="str">
        <f>'PLANILHA OFICIAL '!D19</f>
        <v>%</v>
      </c>
      <c r="F17" s="339">
        <v>5.0000000000000001E-3</v>
      </c>
      <c r="G17" s="323">
        <f>'PLANILHA OFICIAL '!F19</f>
        <v>126256.89861407505</v>
      </c>
      <c r="H17" s="313">
        <f>G5</f>
        <v>0.2843</v>
      </c>
      <c r="I17" s="314">
        <f>G17</f>
        <v>126256.89861407505</v>
      </c>
      <c r="J17" s="319">
        <f>G17+(G17*H17)</f>
        <v>162151.7348900566</v>
      </c>
      <c r="K17" s="521">
        <f>J17*F17</f>
        <v>810.75867445028302</v>
      </c>
    </row>
    <row r="18" spans="1:12" ht="13.5" thickBot="1" x14ac:dyDescent="0.25">
      <c r="A18" s="327"/>
      <c r="B18" s="320"/>
      <c r="C18" s="320"/>
      <c r="D18" s="328"/>
      <c r="E18" s="321"/>
      <c r="F18" s="322"/>
      <c r="G18" s="323"/>
      <c r="H18" s="313"/>
      <c r="I18" s="324"/>
      <c r="J18" s="325"/>
      <c r="K18" s="326"/>
    </row>
    <row r="19" spans="1:12" ht="15.75" thickBot="1" x14ac:dyDescent="0.25">
      <c r="A19" s="329" t="s">
        <v>263</v>
      </c>
      <c r="B19" s="320"/>
      <c r="C19" s="320"/>
      <c r="D19" s="329" t="s">
        <v>264</v>
      </c>
      <c r="E19" s="321"/>
      <c r="F19" s="322"/>
      <c r="G19" s="323"/>
      <c r="H19" s="313"/>
      <c r="I19" s="324"/>
      <c r="J19" s="325"/>
      <c r="K19" s="326"/>
    </row>
    <row r="20" spans="1:12" ht="60.75" thickBot="1" x14ac:dyDescent="0.25">
      <c r="A20" s="516" t="s">
        <v>121</v>
      </c>
      <c r="B20" s="517" t="s">
        <v>306</v>
      </c>
      <c r="C20" s="518" t="s">
        <v>85</v>
      </c>
      <c r="D20" s="519" t="s">
        <v>308</v>
      </c>
      <c r="E20" s="520" t="s">
        <v>2</v>
      </c>
      <c r="F20" s="318">
        <f>'PLANILHA OFICIAL '!E22</f>
        <v>171.07499999999999</v>
      </c>
      <c r="G20" s="323">
        <f>'PLANILHA OFICIAL '!F22</f>
        <v>2.88</v>
      </c>
      <c r="H20" s="313">
        <f>G5</f>
        <v>0.2843</v>
      </c>
      <c r="I20" s="314">
        <f>G20</f>
        <v>2.88</v>
      </c>
      <c r="J20" s="319">
        <f>G20+(G20*H20)</f>
        <v>3.6987839999999998</v>
      </c>
      <c r="K20" s="521">
        <f>J20*F20</f>
        <v>632.7694727999999</v>
      </c>
    </row>
    <row r="21" spans="1:12" ht="51.75" thickBot="1" x14ac:dyDescent="0.25">
      <c r="A21" s="320" t="s">
        <v>122</v>
      </c>
      <c r="B21" s="308" t="str">
        <f>'PLANILHA OFICIAL '!B23</f>
        <v>ED-51124</v>
      </c>
      <c r="C21" s="320" t="s">
        <v>85</v>
      </c>
      <c r="D21" s="317" t="str">
        <f>'PLANILHA OFICIAL '!C23</f>
        <v>REGULARIZAÇÃO E COMPACTAÇÃO MECÂNICA DE TERRENO COM
ROLO VIBRATÓRIO, EXCLUSIVE DESMATAMENTO,
DESTOCAMENTO, LIMPEZA/ROÇADA DO TERRENO</v>
      </c>
      <c r="E21" s="310" t="str">
        <f>'PLANILHA OFICIAL '!D23</f>
        <v>M2</v>
      </c>
      <c r="F21" s="318">
        <f>'PLANILHA OFICIAL '!E23</f>
        <v>1140.5</v>
      </c>
      <c r="G21" s="323">
        <f>'PLANILHA OFICIAL '!F23</f>
        <v>2.79</v>
      </c>
      <c r="H21" s="313">
        <f>G5</f>
        <v>0.2843</v>
      </c>
      <c r="I21" s="314">
        <f>G21</f>
        <v>2.79</v>
      </c>
      <c r="J21" s="319">
        <f>G21+(G21*H21)</f>
        <v>3.5831970000000002</v>
      </c>
      <c r="K21" s="521">
        <f>J21*F21</f>
        <v>4086.6361785000004</v>
      </c>
    </row>
    <row r="22" spans="1:12" ht="39" thickBot="1" x14ac:dyDescent="0.25">
      <c r="A22" s="320" t="s">
        <v>123</v>
      </c>
      <c r="B22" s="308" t="str">
        <f>'PLANILHA OFICIAL '!B24</f>
        <v>RO-00318</v>
      </c>
      <c r="C22" s="320" t="s">
        <v>85</v>
      </c>
      <c r="D22" s="317" t="str">
        <f>'PLANILHA OFICIAL '!C24</f>
        <v>Base de solo estabilizado granulometricamente sem mistura com
material de jazida - Compactado na energia modificada (Execução,
incluído escavação e carga do material de jazida, exclui o transporte)</v>
      </c>
      <c r="E22" s="310" t="str">
        <f>'PLANILHA OFICIAL '!D24</f>
        <v>M3</v>
      </c>
      <c r="F22" s="318">
        <f>'PLANILHA OFICIAL '!E24</f>
        <v>171.07499999999999</v>
      </c>
      <c r="G22" s="323">
        <f>'PLANILHA OFICIAL '!F24</f>
        <v>12.92</v>
      </c>
      <c r="H22" s="313">
        <f>G5</f>
        <v>0.2843</v>
      </c>
      <c r="I22" s="314">
        <f>G22</f>
        <v>12.92</v>
      </c>
      <c r="J22" s="319">
        <f>G22+(G22*H22)</f>
        <v>16.593156</v>
      </c>
      <c r="K22" s="521">
        <f>J22*F22</f>
        <v>2838.6741626999997</v>
      </c>
      <c r="L22" s="37"/>
    </row>
    <row r="23" spans="1:12" ht="51.75" thickBot="1" x14ac:dyDescent="0.25">
      <c r="A23" s="320" t="s">
        <v>124</v>
      </c>
      <c r="B23" s="308" t="str">
        <f>'PLANILHA OFICIAL '!B25</f>
        <v>ED-29232</v>
      </c>
      <c r="C23" s="320" t="s">
        <v>85</v>
      </c>
      <c r="D23" s="317" t="str">
        <f>'PLANILHA OFICIAL '!C25</f>
        <v>TRANSPORTE DE MATERIAL DE QUALQUER NATUREZA EM
CAMINHÃO, DISTÂNCIA MAIOR QUE 5KM E MENOR OU IGUAL A
10KM, DENTRO DO PERÍMETRO URBANO, EXCLUSIVE CARGA,
INCLUSIVE DESCARGA</v>
      </c>
      <c r="E23" s="310" t="str">
        <f>'PLANILHA OFICIAL '!D25</f>
        <v>M3XKM</v>
      </c>
      <c r="F23" s="318">
        <f>'PLANILHA OFICIAL '!E25</f>
        <v>1710.75</v>
      </c>
      <c r="G23" s="323">
        <f>'PLANILHA OFICIAL '!F25</f>
        <v>1.97</v>
      </c>
      <c r="H23" s="313">
        <f>G5</f>
        <v>0.2843</v>
      </c>
      <c r="I23" s="314">
        <f>G23</f>
        <v>1.97</v>
      </c>
      <c r="J23" s="319">
        <f>G23+(G23*H23)</f>
        <v>2.530071</v>
      </c>
      <c r="K23" s="521">
        <f>J23*F23</f>
        <v>4328.3189632499998</v>
      </c>
    </row>
    <row r="24" spans="1:12" ht="13.5" thickBot="1" x14ac:dyDescent="0.25">
      <c r="A24" s="327" t="s">
        <v>185</v>
      </c>
      <c r="B24" s="308">
        <f>'PLANILHA OFICIAL '!B26</f>
        <v>4743</v>
      </c>
      <c r="C24" s="320" t="s">
        <v>85</v>
      </c>
      <c r="D24" s="337" t="str">
        <f>'PLANILHA OFICIAL '!C26</f>
        <v>CASCALHO DE CAVA</v>
      </c>
      <c r="E24" s="310" t="str">
        <f>'PLANILHA OFICIAL '!D26</f>
        <v>M3</v>
      </c>
      <c r="F24" s="318">
        <f>'PLANILHA OFICIAL '!E26</f>
        <v>171.07499999999999</v>
      </c>
      <c r="G24" s="323">
        <f>'PLANILHA OFICIAL '!F26</f>
        <v>74.459999999999994</v>
      </c>
      <c r="H24" s="313">
        <f>G5</f>
        <v>0.2843</v>
      </c>
      <c r="I24" s="314">
        <f>G24</f>
        <v>74.459999999999994</v>
      </c>
      <c r="J24" s="319">
        <f>G24+(G24*H24)</f>
        <v>95.628977999999989</v>
      </c>
      <c r="K24" s="521">
        <f>J24*F24</f>
        <v>16359.727411349997</v>
      </c>
    </row>
    <row r="25" spans="1:12" ht="13.5" thickBot="1" x14ac:dyDescent="0.25">
      <c r="A25" s="345"/>
      <c r="B25" s="336"/>
      <c r="C25" s="320"/>
      <c r="D25" s="332"/>
      <c r="E25" s="321"/>
      <c r="F25" s="322"/>
      <c r="G25" s="323"/>
      <c r="H25" s="313"/>
      <c r="I25" s="324"/>
      <c r="J25" s="325"/>
      <c r="K25" s="326"/>
    </row>
    <row r="26" spans="1:12" ht="15.75" thickBot="1" x14ac:dyDescent="0.25">
      <c r="A26" s="329" t="s">
        <v>265</v>
      </c>
      <c r="B26" s="308"/>
      <c r="C26" s="320"/>
      <c r="D26" s="329" t="s">
        <v>9</v>
      </c>
      <c r="E26" s="321"/>
      <c r="F26" s="322"/>
      <c r="G26" s="323"/>
      <c r="H26" s="313"/>
      <c r="I26" s="324"/>
      <c r="J26" s="325"/>
      <c r="K26" s="326"/>
    </row>
    <row r="27" spans="1:12" ht="49.5" customHeight="1" thickBot="1" x14ac:dyDescent="0.25">
      <c r="A27" s="330" t="s">
        <v>10</v>
      </c>
      <c r="B27" s="308" t="str">
        <f>'PLANILHA OFICIAL '!B29</f>
        <v>RO-51228</v>
      </c>
      <c r="C27" s="320" t="s">
        <v>85</v>
      </c>
      <c r="D27" s="337" t="str">
        <f>'PLANILHA OFICIAL '!C29</f>
        <v>Imprimação (Execução e fornecimento do material betuminoso, exclusive
transporte do material betuminoso)</v>
      </c>
      <c r="E27" s="310" t="str">
        <f>'PLANILHA OFICIAL '!D29</f>
        <v>M2</v>
      </c>
      <c r="F27" s="318">
        <f>'PLANILHA OFICIAL '!E29</f>
        <v>941.59999999999991</v>
      </c>
      <c r="G27" s="323">
        <f>'PLANILHA OFICIAL '!F29</f>
        <v>3.53</v>
      </c>
      <c r="H27" s="313">
        <f>G5</f>
        <v>0.2843</v>
      </c>
      <c r="I27" s="314">
        <f t="shared" ref="I27:I36" si="0">G27</f>
        <v>3.53</v>
      </c>
      <c r="J27" s="319">
        <f t="shared" ref="J27:J36" si="1">G27+(G27*H27)</f>
        <v>4.5335789999999996</v>
      </c>
      <c r="K27" s="521">
        <f t="shared" ref="K27:K36" si="2">J27*F27</f>
        <v>4268.8179863999994</v>
      </c>
      <c r="L27" s="37"/>
    </row>
    <row r="28" spans="1:12" ht="51.75" thickBot="1" x14ac:dyDescent="0.25">
      <c r="A28" s="330" t="s">
        <v>11</v>
      </c>
      <c r="B28" s="308" t="str">
        <f>'PLANILHA OFICIAL '!B23</f>
        <v>ED-51124</v>
      </c>
      <c r="C28" s="320" t="s">
        <v>85</v>
      </c>
      <c r="D28" s="337" t="str">
        <f>'PLANILHA OFICIAL '!C30</f>
        <v>TRANSPORTE DE MATERIAL DE QUALQUER NATUREZA EM
CAMINHÃO, DISTÂNCIA MAIORES QUE 30KM, DENTRO DO
PERÍMETRO URBANO, EXCLUSIVE CARGA, INCLUSIVE DESCARGA. BELO HORIZONTE - MONTALVANIA (CM-30/IMPRIMA)</v>
      </c>
      <c r="E28" s="310" t="str">
        <f>'PLANILHA OFICIAL '!D30</f>
        <v>TXKM</v>
      </c>
      <c r="F28" s="318">
        <f>'PLANILHA OFICIAL '!E30</f>
        <v>879.0777599999999</v>
      </c>
      <c r="G28" s="323">
        <f>'PLANILHA OFICIAL '!F30</f>
        <v>1.57</v>
      </c>
      <c r="H28" s="313">
        <f>G5</f>
        <v>0.2843</v>
      </c>
      <c r="I28" s="314">
        <f t="shared" si="0"/>
        <v>1.57</v>
      </c>
      <c r="J28" s="319">
        <f t="shared" si="1"/>
        <v>2.0163510000000002</v>
      </c>
      <c r="K28" s="521">
        <f t="shared" si="2"/>
        <v>1772.52932045376</v>
      </c>
    </row>
    <row r="29" spans="1:12" ht="26.25" thickBot="1" x14ac:dyDescent="0.25">
      <c r="A29" s="330" t="s">
        <v>189</v>
      </c>
      <c r="B29" s="308" t="str">
        <f>'PLANILHA OFICIAL '!B31</f>
        <v>RO-51229</v>
      </c>
      <c r="C29" s="320" t="s">
        <v>85</v>
      </c>
      <c r="D29" s="337" t="str">
        <f>'PLANILHA OFICIAL '!C31</f>
        <v>Pintura de ligação (Execução e fornecimento do material betuminoso,
exclusive transporte do material betuminoso)</v>
      </c>
      <c r="E29" s="310" t="str">
        <f>'PLANILHA OFICIAL '!D31</f>
        <v>M2</v>
      </c>
      <c r="F29" s="318">
        <f>'PLANILHA OFICIAL '!E31</f>
        <v>941.59999999999991</v>
      </c>
      <c r="G29" s="323">
        <f>'PLANILHA OFICIAL '!F31</f>
        <v>1.87</v>
      </c>
      <c r="H29" s="313">
        <f>G5</f>
        <v>0.2843</v>
      </c>
      <c r="I29" s="314">
        <f t="shared" si="0"/>
        <v>1.87</v>
      </c>
      <c r="J29" s="319">
        <f t="shared" si="1"/>
        <v>2.4016410000000001</v>
      </c>
      <c r="K29" s="521">
        <f t="shared" si="2"/>
        <v>2261.3851655999997</v>
      </c>
    </row>
    <row r="30" spans="1:12" ht="51.75" thickBot="1" x14ac:dyDescent="0.25">
      <c r="A30" s="330" t="s">
        <v>190</v>
      </c>
      <c r="B30" s="308" t="str">
        <f>'PLANILHA OFICIAL '!B30</f>
        <v>ED-29235</v>
      </c>
      <c r="C30" s="320" t="s">
        <v>85</v>
      </c>
      <c r="D30" s="337" t="str">
        <f>'PLANILHA OFICIAL '!C32</f>
        <v>TRANSPORTE DE MATERIAL DE QUALQUER NATUREZA EM
CAMINHÃO, DISTÂNCIA MAIORES QUE 30KM, DENTRO DO
PERÍMETRO URBANO, EXCLUSIVE CARGA, INCLUSIVE DESCARGA. BELO HORIZONTE - MONTALVANIA (RR-1C)</v>
      </c>
      <c r="E30" s="310" t="str">
        <f>'PLANILHA OFICIAL '!D32</f>
        <v>TXKM</v>
      </c>
      <c r="F30" s="318">
        <f>'PLANILHA OFICIAL '!E32</f>
        <v>366.28239999999994</v>
      </c>
      <c r="G30" s="323">
        <f>'PLANILHA OFICIAL '!F32</f>
        <v>1.57</v>
      </c>
      <c r="H30" s="313">
        <f>G5</f>
        <v>0.2843</v>
      </c>
      <c r="I30" s="314">
        <f t="shared" si="0"/>
        <v>1.57</v>
      </c>
      <c r="J30" s="319">
        <f t="shared" si="1"/>
        <v>2.0163510000000002</v>
      </c>
      <c r="K30" s="521">
        <f t="shared" si="2"/>
        <v>738.55388352239993</v>
      </c>
    </row>
    <row r="31" spans="1:12" ht="78" customHeight="1" thickBot="1" x14ac:dyDescent="0.25">
      <c r="A31" s="330" t="s">
        <v>191</v>
      </c>
      <c r="B31" s="308" t="str">
        <f>'PLANILHA OFICIAL '!B33</f>
        <v>RO-14021</v>
      </c>
      <c r="C31" s="320" t="s">
        <v>85</v>
      </c>
      <c r="D31" s="337" t="str">
        <f>'PLANILHA OFICIAL '!C33</f>
        <v>Pré-misturado a frio - PMF (Execução, incluindo usinagem, aplicação,
espalhamento e compactação, fornecimento dos agregados e material
betuminoso, exclui transporte dos agregados e do material betuminoso
até usina e da massa pronta até a pista)</v>
      </c>
      <c r="E31" s="310" t="str">
        <f>'PLANILHA OFICIAL '!D33</f>
        <v>M3</v>
      </c>
      <c r="F31" s="318">
        <f>'PLANILHA OFICIAL '!E33</f>
        <v>32.956000000000003</v>
      </c>
      <c r="G31" s="323">
        <f>'PLANILHA OFICIAL '!F33</f>
        <v>741.11</v>
      </c>
      <c r="H31" s="313">
        <f>G5</f>
        <v>0.2843</v>
      </c>
      <c r="I31" s="314">
        <f t="shared" si="0"/>
        <v>741.11</v>
      </c>
      <c r="J31" s="319">
        <f t="shared" si="1"/>
        <v>951.80757300000005</v>
      </c>
      <c r="K31" s="521">
        <f t="shared" si="2"/>
        <v>31367.770375788004</v>
      </c>
    </row>
    <row r="32" spans="1:12" ht="51.75" thickBot="1" x14ac:dyDescent="0.25">
      <c r="A32" s="330" t="s">
        <v>192</v>
      </c>
      <c r="B32" s="308" t="str">
        <f>'PLANILHA OFICIAL '!B34</f>
        <v>ED-29235</v>
      </c>
      <c r="C32" s="320" t="s">
        <v>85</v>
      </c>
      <c r="D32" s="337" t="str">
        <f>'PLANILHA OFICIAL '!C34</f>
        <v>TRANSPORTE DE MATERIAL DE QUALQUER NATUREZA EM
CAMINHÃO, DISTÂNCIA MAIORES QUE 30KM, DENTRO DO
PERÍMETRO URBANO, EXCLUSIVE CARGA, INCLUSIVE DESCARGA. MANGA- MONTALVANIA (AREIA)</v>
      </c>
      <c r="E32" s="310" t="str">
        <f>'PLANILHA OFICIAL '!D34</f>
        <v>M3XKM</v>
      </c>
      <c r="F32" s="318">
        <f>'PLANILHA OFICIAL '!E34</f>
        <v>530.46636720000015</v>
      </c>
      <c r="G32" s="323">
        <f>'PLANILHA OFICIAL '!F34</f>
        <v>1.57</v>
      </c>
      <c r="H32" s="313">
        <f>G5</f>
        <v>0.2843</v>
      </c>
      <c r="I32" s="314">
        <f t="shared" si="0"/>
        <v>1.57</v>
      </c>
      <c r="J32" s="319">
        <f t="shared" si="1"/>
        <v>2.0163510000000002</v>
      </c>
      <c r="K32" s="521">
        <f t="shared" si="2"/>
        <v>1069.6063899700875</v>
      </c>
    </row>
    <row r="33" spans="1:12" ht="51.75" thickBot="1" x14ac:dyDescent="0.25">
      <c r="A33" s="330" t="s">
        <v>193</v>
      </c>
      <c r="B33" s="308" t="str">
        <f>'PLANILHA OFICIAL '!B35</f>
        <v>ED-29235</v>
      </c>
      <c r="C33" s="320" t="s">
        <v>85</v>
      </c>
      <c r="D33" s="337" t="str">
        <f>'PLANILHA OFICIAL '!C35</f>
        <v>TRANSPORTE DE MATERIAL DE QUALQUER NATUREZA EM
CAMINHÃO, DISTÂNCIA MAIORES QUE 30KM, DENTRO DO
PERÍMETRO URBANO, EXCLUSIVE CARGA, INCLUSIVE DESCARGA. JANAÚBA - MONTALVANIA (BRITA</v>
      </c>
      <c r="E33" s="310" t="str">
        <f>'PLANILHA OFICIAL '!D35</f>
        <v>M3XKM</v>
      </c>
      <c r="F33" s="318">
        <f>'PLANILHA OFICIAL '!E35</f>
        <v>8768.8006560000013</v>
      </c>
      <c r="G33" s="323">
        <f>'PLANILHA OFICIAL '!F35</f>
        <v>1.57</v>
      </c>
      <c r="H33" s="313">
        <f>G5</f>
        <v>0.2843</v>
      </c>
      <c r="I33" s="314">
        <f t="shared" si="0"/>
        <v>1.57</v>
      </c>
      <c r="J33" s="319">
        <f t="shared" si="1"/>
        <v>2.0163510000000002</v>
      </c>
      <c r="K33" s="521">
        <f t="shared" si="2"/>
        <v>17680.97997152626</v>
      </c>
    </row>
    <row r="34" spans="1:12" ht="51.75" thickBot="1" x14ac:dyDescent="0.25">
      <c r="A34" s="330" t="s">
        <v>194</v>
      </c>
      <c r="B34" s="308" t="str">
        <f>'PLANILHA OFICIAL '!B36</f>
        <v>ED-29235</v>
      </c>
      <c r="C34" s="320" t="s">
        <v>85</v>
      </c>
      <c r="D34" s="337" t="str">
        <f>'PLANILHA OFICIAL '!C36</f>
        <v>TRANSPORTE DE MATERIAL DE QUALQUER NATUREZA EM
CAMINHÃO, DISTÂNCIA MAIOR QUE 5KM E MENOR OU IGUAL A
10KM, DENTRO DO PERÍMETRO URBANO, EXCLUSIVE CARGA,
INCLUSIVE DESCARGA</v>
      </c>
      <c r="E34" s="310" t="str">
        <f>'PLANILHA OFICIAL '!D36</f>
        <v>M3XKM</v>
      </c>
      <c r="F34" s="318">
        <f>'PLANILHA OFICIAL '!E36</f>
        <v>65.912000000000006</v>
      </c>
      <c r="G34" s="323">
        <f>'PLANILHA OFICIAL '!F36</f>
        <v>1.57</v>
      </c>
      <c r="H34" s="313">
        <f>G5</f>
        <v>0.2843</v>
      </c>
      <c r="I34" s="314">
        <f t="shared" si="0"/>
        <v>1.57</v>
      </c>
      <c r="J34" s="319">
        <f t="shared" si="1"/>
        <v>2.0163510000000002</v>
      </c>
      <c r="K34" s="521">
        <f t="shared" si="2"/>
        <v>132.90172711200003</v>
      </c>
    </row>
    <row r="35" spans="1:12" ht="26.25" thickBot="1" x14ac:dyDescent="0.25">
      <c r="A35" s="330" t="s">
        <v>195</v>
      </c>
      <c r="B35" s="308" t="str">
        <f>'PLANILHA OFICIAL '!B37</f>
        <v>ED-51132</v>
      </c>
      <c r="C35" s="320" t="s">
        <v>85</v>
      </c>
      <c r="D35" s="337" t="str">
        <f>'PLANILHA OFICIAL '!C37</f>
        <v>CARGA MECÂNICA DE MATERIAL DE QUALQUER NATUREZA
SOBRE CAMINHÃO, EXCLUSIVE TRANSPORTE (PMF)</v>
      </c>
      <c r="E35" s="310" t="str">
        <f>'PLANILHA OFICIAL '!D37</f>
        <v>M³</v>
      </c>
      <c r="F35" s="318">
        <f>'PLANILHA OFICIAL '!E37</f>
        <v>32.956000000000003</v>
      </c>
      <c r="G35" s="323">
        <f>'PLANILHA OFICIAL '!F37</f>
        <v>2.92</v>
      </c>
      <c r="H35" s="313">
        <f>G5</f>
        <v>0.2843</v>
      </c>
      <c r="I35" s="314">
        <f t="shared" si="0"/>
        <v>2.92</v>
      </c>
      <c r="J35" s="319">
        <f t="shared" si="1"/>
        <v>3.750156</v>
      </c>
      <c r="K35" s="521">
        <f t="shared" si="2"/>
        <v>123.59014113600001</v>
      </c>
    </row>
    <row r="36" spans="1:12" ht="51" x14ac:dyDescent="0.2">
      <c r="A36" s="330" t="s">
        <v>215</v>
      </c>
      <c r="B36" s="308" t="str">
        <f>'PLANILHA OFICIAL '!B38</f>
        <v>ED-29235</v>
      </c>
      <c r="C36" s="320" t="s">
        <v>85</v>
      </c>
      <c r="D36" s="337" t="str">
        <f>'PLANILHA OFICIAL '!C38</f>
        <v>TRANSPORTE DE MATERIAL DE QUALQUER NATUREZA EM
CAMINHÃO, DISTÂNCIA MAIORES QUE 30KM, DENTRO DO
PERÍMETRO URBANO, EXCLUSIVE CARGA, INCLUSIVE DESCARGA. BELO HORIZONTE - MONTALVANIA (PMF)</v>
      </c>
      <c r="E36" s="310" t="str">
        <f>'PLANILHA OFICIAL '!D38</f>
        <v>TXKM</v>
      </c>
      <c r="F36" s="318">
        <f>'PLANILHA OFICIAL '!E38</f>
        <v>4358.7605600000006</v>
      </c>
      <c r="G36" s="323">
        <f>'PLANILHA OFICIAL '!F38</f>
        <v>1.57</v>
      </c>
      <c r="H36" s="313">
        <f>G5</f>
        <v>0.2843</v>
      </c>
      <c r="I36" s="314">
        <f t="shared" si="0"/>
        <v>1.57</v>
      </c>
      <c r="J36" s="319">
        <f t="shared" si="1"/>
        <v>2.0163510000000002</v>
      </c>
      <c r="K36" s="521">
        <f t="shared" si="2"/>
        <v>8788.7912139165619</v>
      </c>
    </row>
    <row r="37" spans="1:12" ht="13.5" thickBot="1" x14ac:dyDescent="0.25">
      <c r="A37" s="331"/>
      <c r="B37" s="308"/>
      <c r="C37" s="341"/>
      <c r="D37" s="335"/>
      <c r="E37" s="342"/>
      <c r="F37" s="318"/>
      <c r="G37" s="312"/>
      <c r="H37" s="343"/>
      <c r="I37" s="314"/>
      <c r="J37" s="319"/>
      <c r="K37" s="316"/>
    </row>
    <row r="38" spans="1:12" ht="15.75" thickBot="1" x14ac:dyDescent="0.25">
      <c r="A38" s="329" t="s">
        <v>266</v>
      </c>
      <c r="B38" s="308"/>
      <c r="C38" s="334"/>
      <c r="D38" s="329" t="s">
        <v>113</v>
      </c>
      <c r="E38" s="321"/>
      <c r="F38" s="322"/>
      <c r="G38" s="323"/>
      <c r="H38" s="333"/>
      <c r="I38" s="324"/>
      <c r="J38" s="325"/>
      <c r="K38" s="326"/>
    </row>
    <row r="39" spans="1:12" ht="51" x14ac:dyDescent="0.2">
      <c r="A39" s="330" t="s">
        <v>12</v>
      </c>
      <c r="B39" s="308">
        <f>'PLANILHA OFICIAL '!B41</f>
        <v>94267</v>
      </c>
      <c r="C39" s="320" t="s">
        <v>85</v>
      </c>
      <c r="D39" s="337" t="str">
        <f>'PLANILHA OFICIAL '!C41</f>
        <v>GUIA (MEIO-FIO) E SARJETA CONJUGADOS DE CONCRETO, MOLDADA IN LOCO EM TRECHO RETO COM EXTRUSORA, 45 CM BASE (15 CM BASE DA GUIA + 30 CM BASE DA SARJETA) X 22 CM ALTURA. AF_01/2024</v>
      </c>
      <c r="E39" s="310" t="str">
        <f>'PLANILHA OFICIAL '!D41</f>
        <v>M</v>
      </c>
      <c r="F39" s="318">
        <f>'PLANILHA OFICIAL '!E41</f>
        <v>442</v>
      </c>
      <c r="G39" s="323">
        <f>'PLANILHA OFICIAL '!F41</f>
        <v>55.92</v>
      </c>
      <c r="H39" s="333">
        <f>G5</f>
        <v>0.2843</v>
      </c>
      <c r="I39" s="314">
        <f>G39</f>
        <v>55.92</v>
      </c>
      <c r="J39" s="319">
        <f>G39+(G39*H39)</f>
        <v>71.818055999999999</v>
      </c>
      <c r="K39" s="521">
        <f>J39*F39</f>
        <v>31743.580751999998</v>
      </c>
      <c r="L39" s="37"/>
    </row>
    <row r="40" spans="1:12" ht="8.25" customHeight="1" x14ac:dyDescent="0.2"/>
    <row r="41" spans="1:12" ht="4.5" hidden="1" customHeight="1" x14ac:dyDescent="0.2">
      <c r="B41" s="410"/>
      <c r="C41" s="410"/>
      <c r="D41" s="410"/>
      <c r="E41" s="340"/>
    </row>
    <row r="42" spans="1:12" ht="12" customHeight="1" x14ac:dyDescent="0.2">
      <c r="B42" s="411" t="s">
        <v>203</v>
      </c>
      <c r="C42" s="411"/>
      <c r="D42" s="411"/>
      <c r="E42" s="340"/>
      <c r="F42" s="412" t="s">
        <v>188</v>
      </c>
      <c r="G42" s="412"/>
      <c r="H42" s="412"/>
    </row>
    <row r="43" spans="1:12" ht="16.5" customHeight="1" x14ac:dyDescent="0.2">
      <c r="B43" s="409" t="s">
        <v>131</v>
      </c>
      <c r="C43" s="409"/>
      <c r="D43" s="409"/>
      <c r="E43" s="340"/>
      <c r="F43" s="409" t="s">
        <v>132</v>
      </c>
      <c r="G43" s="409"/>
      <c r="H43" s="409"/>
    </row>
    <row r="44" spans="1:12" x14ac:dyDescent="0.2">
      <c r="B44" s="409" t="s">
        <v>204</v>
      </c>
      <c r="C44" s="409"/>
      <c r="D44" s="409"/>
      <c r="E44" s="340"/>
    </row>
    <row r="45" spans="1:12" x14ac:dyDescent="0.2">
      <c r="D45" s="410"/>
      <c r="E45" s="410"/>
      <c r="F45" s="410"/>
      <c r="G45" s="340"/>
    </row>
    <row r="46" spans="1:12" x14ac:dyDescent="0.2">
      <c r="D46" s="411"/>
      <c r="E46" s="411"/>
      <c r="F46" s="411"/>
      <c r="G46" s="340"/>
      <c r="H46" s="412"/>
      <c r="I46" s="412"/>
      <c r="J46" s="412"/>
    </row>
    <row r="47" spans="1:12" x14ac:dyDescent="0.2">
      <c r="D47" s="409"/>
      <c r="E47" s="409"/>
      <c r="F47" s="409"/>
      <c r="G47" s="340"/>
      <c r="H47" s="409"/>
      <c r="I47" s="409"/>
      <c r="J47" s="409"/>
    </row>
    <row r="48" spans="1:12" x14ac:dyDescent="0.2">
      <c r="D48" s="409"/>
      <c r="E48" s="409"/>
      <c r="F48" s="409"/>
      <c r="G48" s="340"/>
    </row>
    <row r="49" spans="4:7" x14ac:dyDescent="0.2">
      <c r="D49" s="340"/>
      <c r="E49" s="340"/>
      <c r="G49" s="340"/>
    </row>
    <row r="50" spans="4:7" x14ac:dyDescent="0.2">
      <c r="D50" s="340"/>
      <c r="E50" s="340"/>
      <c r="G50" s="340"/>
    </row>
  </sheetData>
  <mergeCells count="26">
    <mergeCell ref="D48:F48"/>
    <mergeCell ref="B41:D41"/>
    <mergeCell ref="B42:D42"/>
    <mergeCell ref="F42:H42"/>
    <mergeCell ref="B43:D43"/>
    <mergeCell ref="F43:H43"/>
    <mergeCell ref="B44:D44"/>
    <mergeCell ref="D45:F45"/>
    <mergeCell ref="D46:F46"/>
    <mergeCell ref="H46:J46"/>
    <mergeCell ref="D47:F47"/>
    <mergeCell ref="H47:J47"/>
    <mergeCell ref="A1:E1"/>
    <mergeCell ref="B2:G2"/>
    <mergeCell ref="B3:G3"/>
    <mergeCell ref="D4:E4"/>
    <mergeCell ref="A5:A6"/>
    <mergeCell ref="B5:B6"/>
    <mergeCell ref="F5:F6"/>
    <mergeCell ref="G5:G6"/>
    <mergeCell ref="H5:H6"/>
    <mergeCell ref="I5:I6"/>
    <mergeCell ref="A8:A10"/>
    <mergeCell ref="B8:C8"/>
    <mergeCell ref="B9:C9"/>
    <mergeCell ref="B10:C10"/>
  </mergeCells>
  <dataValidations disablePrompts="1" count="3">
    <dataValidation type="list" allowBlank="1" showInputMessage="1" showErrorMessage="1" sqref="D4">
      <formula1>"1 – Empreitada por Preço Global, 2 – Empreitada por Preço Unitário, 3 – Empreitada Integral, 4 – Tarefa, 5 – Execução Direta, 6 – Contratação integrada, 7 – Contratação semi-integrada,  8 – Fornecimento e prestação de serviço associado"</formula1>
    </dataValidation>
    <dataValidation type="list" allowBlank="1" showInputMessage="1" showErrorMessage="1" sqref="C6">
      <formula1>"Sim,Não"</formula1>
    </dataValidation>
    <dataValidation type="list" allowBlank="1" showInputMessage="1" showErrorMessage="1" sqref="G12">
      <formula1>"CUSTO (SEM BDI),PREÇO (COM BDI)"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topLeftCell="A19" zoomScaleSheetLayoutView="85" workbookViewId="0">
      <selection activeCell="B22" sqref="B22"/>
    </sheetView>
  </sheetViews>
  <sheetFormatPr defaultRowHeight="12.75" x14ac:dyDescent="0.2"/>
  <cols>
    <col min="1" max="1" width="9.140625" style="25"/>
    <col min="2" max="2" width="14" style="25" customWidth="1"/>
    <col min="3" max="3" width="71.42578125" customWidth="1"/>
    <col min="4" max="4" width="7.85546875" style="25" customWidth="1"/>
    <col min="5" max="5" width="16.7109375" bestFit="1" customWidth="1"/>
    <col min="6" max="6" width="20.7109375" bestFit="1" customWidth="1"/>
    <col min="7" max="7" width="17.85546875" bestFit="1" customWidth="1"/>
    <col min="8" max="8" width="19.85546875" customWidth="1"/>
    <col min="9" max="9" width="10.5703125" bestFit="1" customWidth="1"/>
    <col min="10" max="10" width="21" customWidth="1"/>
  </cols>
  <sheetData>
    <row r="1" spans="1:8" ht="92.25" customHeight="1" thickBot="1" x14ac:dyDescent="0.35">
      <c r="A1" s="79"/>
      <c r="B1" s="80"/>
      <c r="C1" s="81"/>
      <c r="D1" s="82"/>
      <c r="E1" s="83"/>
      <c r="F1" s="84"/>
      <c r="G1" s="85"/>
      <c r="H1" s="86"/>
    </row>
    <row r="2" spans="1:8" ht="6" customHeight="1" thickBot="1" x14ac:dyDescent="0.35">
      <c r="A2" s="79"/>
      <c r="B2" s="80"/>
      <c r="C2" s="81"/>
      <c r="D2" s="82"/>
      <c r="E2" s="83"/>
      <c r="F2" s="84"/>
      <c r="G2" s="85"/>
      <c r="H2" s="86"/>
    </row>
    <row r="3" spans="1:8" ht="16.5" customHeight="1" thickBot="1" x14ac:dyDescent="0.3">
      <c r="A3" s="420" t="s">
        <v>225</v>
      </c>
      <c r="B3" s="421"/>
      <c r="C3" s="421"/>
      <c r="D3" s="421"/>
      <c r="E3" s="421"/>
      <c r="F3" s="421"/>
      <c r="G3" s="421"/>
      <c r="H3" s="422"/>
    </row>
    <row r="4" spans="1:8" ht="5.25" customHeight="1" thickBot="1" x14ac:dyDescent="0.35">
      <c r="A4" s="79"/>
      <c r="B4" s="80"/>
      <c r="C4" s="81"/>
      <c r="D4" s="82"/>
      <c r="E4" s="83"/>
      <c r="F4" s="84"/>
      <c r="G4" s="85"/>
      <c r="H4" s="86"/>
    </row>
    <row r="5" spans="1:8" ht="22.5" customHeight="1" x14ac:dyDescent="0.25">
      <c r="A5" s="423" t="s">
        <v>127</v>
      </c>
      <c r="B5" s="424"/>
      <c r="C5" s="424"/>
      <c r="D5" s="424"/>
      <c r="E5" s="425"/>
      <c r="F5" s="104" t="s">
        <v>114</v>
      </c>
      <c r="G5" s="105"/>
      <c r="H5" s="211"/>
    </row>
    <row r="6" spans="1:8" ht="22.5" customHeight="1" x14ac:dyDescent="0.3">
      <c r="A6" s="212" t="s">
        <v>269</v>
      </c>
      <c r="B6" s="89"/>
      <c r="C6" s="90"/>
      <c r="D6" s="91"/>
      <c r="E6" s="87"/>
      <c r="F6" s="88" t="s">
        <v>270</v>
      </c>
      <c r="G6" s="102"/>
      <c r="H6" s="213"/>
    </row>
    <row r="7" spans="1:8" ht="22.5" customHeight="1" x14ac:dyDescent="0.25">
      <c r="A7" s="212" t="s">
        <v>274</v>
      </c>
      <c r="B7" s="89"/>
      <c r="C7" s="90"/>
      <c r="D7" s="92"/>
      <c r="E7" s="426" t="s">
        <v>115</v>
      </c>
      <c r="F7" s="427"/>
      <c r="G7" s="427"/>
      <c r="H7" s="428"/>
    </row>
    <row r="8" spans="1:8" ht="22.5" customHeight="1" x14ac:dyDescent="0.3">
      <c r="A8" s="212" t="s">
        <v>290</v>
      </c>
      <c r="B8" s="89"/>
      <c r="C8" s="90"/>
      <c r="D8" s="92"/>
      <c r="E8" s="93" t="s">
        <v>116</v>
      </c>
      <c r="F8" s="94" t="s">
        <v>117</v>
      </c>
      <c r="G8" s="23" t="s">
        <v>118</v>
      </c>
      <c r="H8" s="214" t="s">
        <v>119</v>
      </c>
    </row>
    <row r="9" spans="1:8" ht="22.5" customHeight="1" thickBot="1" x14ac:dyDescent="0.35">
      <c r="A9" s="215" t="s">
        <v>224</v>
      </c>
      <c r="B9" s="95"/>
      <c r="C9" s="96"/>
      <c r="D9" s="97"/>
      <c r="E9" s="98"/>
      <c r="F9" s="99"/>
      <c r="G9" s="103" t="s">
        <v>196</v>
      </c>
      <c r="H9" s="216">
        <v>0.2843</v>
      </c>
    </row>
    <row r="10" spans="1:8" ht="5.25" customHeight="1" thickBot="1" x14ac:dyDescent="0.35">
      <c r="A10" s="79"/>
      <c r="B10" s="80"/>
      <c r="C10" s="81"/>
      <c r="D10" s="82"/>
      <c r="E10" s="83"/>
      <c r="F10" s="84"/>
      <c r="G10" s="85"/>
      <c r="H10" s="86"/>
    </row>
    <row r="11" spans="1:8" ht="16.5" hidden="1" customHeight="1" x14ac:dyDescent="0.3">
      <c r="A11" s="217"/>
      <c r="B11" s="45"/>
      <c r="C11" s="45"/>
      <c r="D11" s="45"/>
      <c r="E11" s="45"/>
      <c r="F11" s="45"/>
      <c r="G11" s="45"/>
      <c r="H11" s="218"/>
    </row>
    <row r="12" spans="1:8" ht="15" customHeight="1" x14ac:dyDescent="0.2">
      <c r="A12" s="429" t="s">
        <v>38</v>
      </c>
      <c r="B12" s="431" t="s">
        <v>70</v>
      </c>
      <c r="C12" s="431" t="s">
        <v>71</v>
      </c>
      <c r="D12" s="431" t="s">
        <v>60</v>
      </c>
      <c r="E12" s="431" t="s">
        <v>76</v>
      </c>
      <c r="F12" s="433" t="s">
        <v>77</v>
      </c>
      <c r="G12" s="434"/>
      <c r="H12" s="435" t="s">
        <v>78</v>
      </c>
    </row>
    <row r="13" spans="1:8" ht="15" customHeight="1" thickBot="1" x14ac:dyDescent="0.25">
      <c r="A13" s="430"/>
      <c r="B13" s="432"/>
      <c r="C13" s="432"/>
      <c r="D13" s="432"/>
      <c r="E13" s="432"/>
      <c r="F13" s="101" t="s">
        <v>197</v>
      </c>
      <c r="G13" s="101" t="s">
        <v>198</v>
      </c>
      <c r="H13" s="419"/>
    </row>
    <row r="14" spans="1:8" ht="19.5" customHeight="1" x14ac:dyDescent="0.2">
      <c r="A14" s="206"/>
      <c r="B14" s="50"/>
      <c r="C14" s="100" t="s">
        <v>179</v>
      </c>
      <c r="D14" s="50"/>
      <c r="E14" s="50"/>
      <c r="F14" s="49"/>
      <c r="G14" s="49"/>
      <c r="H14" s="418">
        <f>H43</f>
        <v>132028.74572457536</v>
      </c>
    </row>
    <row r="15" spans="1:8" ht="17.25" customHeight="1" thickBot="1" x14ac:dyDescent="0.25">
      <c r="A15" s="206"/>
      <c r="B15" s="50"/>
      <c r="C15" s="51"/>
      <c r="D15" s="50"/>
      <c r="E15" s="50"/>
      <c r="F15" s="49"/>
      <c r="G15" s="49"/>
      <c r="H15" s="419"/>
    </row>
    <row r="16" spans="1:8" ht="17.25" customHeight="1" thickBot="1" x14ac:dyDescent="0.25">
      <c r="A16" s="197">
        <v>1</v>
      </c>
      <c r="B16" s="185"/>
      <c r="C16" s="186" t="s">
        <v>79</v>
      </c>
      <c r="D16" s="186"/>
      <c r="E16" s="186"/>
      <c r="F16" s="187"/>
      <c r="G16" s="187"/>
      <c r="H16" s="188"/>
    </row>
    <row r="17" spans="1:10" ht="76.5" x14ac:dyDescent="0.2">
      <c r="A17" s="220" t="s">
        <v>5</v>
      </c>
      <c r="B17" s="221" t="s">
        <v>207</v>
      </c>
      <c r="C17" s="263" t="s">
        <v>208</v>
      </c>
      <c r="D17" s="219" t="s">
        <v>60</v>
      </c>
      <c r="E17" s="249">
        <v>1</v>
      </c>
      <c r="F17" s="252">
        <v>1366.74</v>
      </c>
      <c r="G17" s="252">
        <f>F17*(1+$H$9)</f>
        <v>1755.3041820000001</v>
      </c>
      <c r="H17" s="253">
        <f t="shared" ref="H17:H18" si="0">G17*E17</f>
        <v>1755.3041820000001</v>
      </c>
    </row>
    <row r="18" spans="1:10" ht="25.5" x14ac:dyDescent="0.2">
      <c r="A18" s="208" t="s">
        <v>6</v>
      </c>
      <c r="B18" s="60" t="s">
        <v>222</v>
      </c>
      <c r="C18" s="174" t="s">
        <v>223</v>
      </c>
      <c r="D18" s="24" t="s">
        <v>80</v>
      </c>
      <c r="E18" s="248">
        <f>262/20</f>
        <v>13.1</v>
      </c>
      <c r="F18" s="254">
        <v>75.37</v>
      </c>
      <c r="G18" s="254">
        <f>F18*(1+$H$9)</f>
        <v>96.797691</v>
      </c>
      <c r="H18" s="255">
        <f t="shared" si="0"/>
        <v>1268.0497521</v>
      </c>
      <c r="J18" s="37"/>
    </row>
    <row r="19" spans="1:10" ht="25.5" x14ac:dyDescent="0.2">
      <c r="A19" s="208" t="s">
        <v>199</v>
      </c>
      <c r="B19" s="60" t="s">
        <v>205</v>
      </c>
      <c r="C19" s="174" t="s">
        <v>206</v>
      </c>
      <c r="D19" s="24" t="s">
        <v>133</v>
      </c>
      <c r="E19" s="338">
        <v>5.0000000000000001E-3</v>
      </c>
      <c r="F19" s="254">
        <f>H17+H18+H23+H24+H26+H29+H30+H31+H32+H33+H34+H35+H36+H37+H38+H41</f>
        <v>126256.89861407505</v>
      </c>
      <c r="G19" s="254">
        <f>F19*(1+$H$9)</f>
        <v>162151.7348900566</v>
      </c>
      <c r="H19" s="255">
        <f>G19*E19</f>
        <v>810.75867445028302</v>
      </c>
      <c r="J19" s="37">
        <f>F19*(1+H9)</f>
        <v>162151.7348900566</v>
      </c>
    </row>
    <row r="20" spans="1:10" s="1" customFormat="1" ht="16.5" thickBot="1" x14ac:dyDescent="0.3">
      <c r="A20" s="413" t="s">
        <v>126</v>
      </c>
      <c r="B20" s="414"/>
      <c r="C20" s="414"/>
      <c r="D20" s="414"/>
      <c r="E20" s="414"/>
      <c r="F20" s="414"/>
      <c r="G20" s="415"/>
      <c r="H20" s="256">
        <f>SUM(H17:H19)</f>
        <v>3834.1126085502829</v>
      </c>
      <c r="J20" s="37"/>
    </row>
    <row r="21" spans="1:10" ht="15" x14ac:dyDescent="0.2">
      <c r="A21" s="507">
        <v>2</v>
      </c>
      <c r="B21" s="508"/>
      <c r="C21" s="509" t="s">
        <v>1</v>
      </c>
      <c r="D21" s="510"/>
      <c r="E21" s="511"/>
      <c r="F21" s="511"/>
      <c r="G21" s="511"/>
      <c r="H21" s="512"/>
      <c r="J21" s="37"/>
    </row>
    <row r="22" spans="1:10" ht="51" x14ac:dyDescent="0.2">
      <c r="A22" s="202" t="s">
        <v>121</v>
      </c>
      <c r="B22" s="34" t="str">
        <f>'MEMÓRIA DE CÁLCULO'!B7</f>
        <v>ED-51103</v>
      </c>
      <c r="C22" s="514" t="s">
        <v>307</v>
      </c>
      <c r="D22" s="57" t="s">
        <v>2</v>
      </c>
      <c r="E22" s="513">
        <f>'MEMÓRIA DE CÁLCULO'!G13</f>
        <v>171.07499999999999</v>
      </c>
      <c r="F22" s="513">
        <v>2.88</v>
      </c>
      <c r="G22" s="254">
        <f>F22*(1+$H$9)</f>
        <v>3.6987839999999998</v>
      </c>
      <c r="H22" s="255">
        <f t="shared" ref="H22:H30" si="1">G22*E22</f>
        <v>632.7694727999999</v>
      </c>
      <c r="J22" s="37"/>
    </row>
    <row r="23" spans="1:10" ht="38.25" x14ac:dyDescent="0.2">
      <c r="A23" s="208" t="s">
        <v>122</v>
      </c>
      <c r="B23" s="60" t="s">
        <v>275</v>
      </c>
      <c r="C23" s="347" t="s">
        <v>276</v>
      </c>
      <c r="D23" s="57" t="s">
        <v>0</v>
      </c>
      <c r="E23" s="248">
        <f>'MEMÓRIA DE CÁLCULO'!F22</f>
        <v>1140.5</v>
      </c>
      <c r="F23" s="254">
        <v>2.79</v>
      </c>
      <c r="G23" s="254">
        <f>F23*(1+$H$9)</f>
        <v>3.5831970000000002</v>
      </c>
      <c r="H23" s="255">
        <f t="shared" si="1"/>
        <v>4086.6361785000004</v>
      </c>
      <c r="J23" s="37"/>
    </row>
    <row r="24" spans="1:10" ht="38.25" x14ac:dyDescent="0.2">
      <c r="A24" s="208" t="s">
        <v>123</v>
      </c>
      <c r="B24" s="60" t="s">
        <v>277</v>
      </c>
      <c r="C24" s="174" t="s">
        <v>278</v>
      </c>
      <c r="D24" s="24" t="s">
        <v>2</v>
      </c>
      <c r="E24" s="248">
        <f>'MEMÓRIA DE CÁLCULO'!G31</f>
        <v>171.07499999999999</v>
      </c>
      <c r="F24" s="254">
        <v>12.92</v>
      </c>
      <c r="G24" s="254">
        <f>F24*(1+$H$9)</f>
        <v>16.593156</v>
      </c>
      <c r="H24" s="255">
        <f t="shared" si="1"/>
        <v>2838.6741626999997</v>
      </c>
      <c r="J24" s="37"/>
    </row>
    <row r="25" spans="1:10" ht="51" x14ac:dyDescent="0.2">
      <c r="A25" s="208" t="s">
        <v>124</v>
      </c>
      <c r="B25" s="60" t="s">
        <v>280</v>
      </c>
      <c r="C25" s="174" t="s">
        <v>281</v>
      </c>
      <c r="D25" s="24" t="s">
        <v>73</v>
      </c>
      <c r="E25" s="248">
        <f>'MEMÓRIA DE CÁLCULO'!H40</f>
        <v>1710.75</v>
      </c>
      <c r="F25" s="254">
        <v>1.97</v>
      </c>
      <c r="G25" s="254">
        <f>F25*(1+$H$9)</f>
        <v>2.530071</v>
      </c>
      <c r="H25" s="255">
        <f t="shared" si="1"/>
        <v>4328.3189632499998</v>
      </c>
      <c r="J25" s="37"/>
    </row>
    <row r="26" spans="1:10" ht="28.5" customHeight="1" x14ac:dyDescent="0.2">
      <c r="A26" s="208" t="s">
        <v>185</v>
      </c>
      <c r="B26" s="60">
        <v>4743</v>
      </c>
      <c r="C26" s="174" t="s">
        <v>279</v>
      </c>
      <c r="D26" s="57" t="s">
        <v>2</v>
      </c>
      <c r="E26" s="248">
        <f>'MEMÓRIA DE CÁLCULO'!G49</f>
        <v>171.07499999999999</v>
      </c>
      <c r="F26" s="254">
        <v>74.459999999999994</v>
      </c>
      <c r="G26" s="254">
        <f>F26*(1+$H$9)</f>
        <v>95.628977999999989</v>
      </c>
      <c r="H26" s="255">
        <f t="shared" ref="H26" si="2">G26*E26</f>
        <v>16359.727411349997</v>
      </c>
      <c r="J26" s="37"/>
    </row>
    <row r="27" spans="1:10" ht="16.5" thickBot="1" x14ac:dyDescent="0.3">
      <c r="A27" s="413" t="s">
        <v>126</v>
      </c>
      <c r="B27" s="414"/>
      <c r="C27" s="414"/>
      <c r="D27" s="414"/>
      <c r="E27" s="414"/>
      <c r="F27" s="414"/>
      <c r="G27" s="415"/>
      <c r="H27" s="256">
        <f>SUM(H22:H26)</f>
        <v>28246.126188599999</v>
      </c>
      <c r="J27" s="37"/>
    </row>
    <row r="28" spans="1:10" ht="15.75" thickBot="1" x14ac:dyDescent="0.25">
      <c r="A28" s="198">
        <v>3</v>
      </c>
      <c r="B28" s="192"/>
      <c r="C28" s="186" t="s">
        <v>9</v>
      </c>
      <c r="D28" s="194"/>
      <c r="E28" s="191"/>
      <c r="F28" s="191"/>
      <c r="G28" s="191"/>
      <c r="H28" s="195"/>
      <c r="J28" s="37"/>
    </row>
    <row r="29" spans="1:10" ht="25.5" x14ac:dyDescent="0.2">
      <c r="A29" s="209" t="s">
        <v>10</v>
      </c>
      <c r="B29" s="189" t="s">
        <v>209</v>
      </c>
      <c r="C29" s="263" t="s">
        <v>210</v>
      </c>
      <c r="D29" s="190" t="s">
        <v>0</v>
      </c>
      <c r="E29" s="250">
        <f>'MEMÓRIA DE CÁLCULO'!F58</f>
        <v>941.59999999999991</v>
      </c>
      <c r="F29" s="257">
        <v>3.53</v>
      </c>
      <c r="G29" s="257">
        <f t="shared" ref="G29:G38" si="3">F29*(1+$H$9)</f>
        <v>4.5335789999999996</v>
      </c>
      <c r="H29" s="258">
        <f t="shared" si="1"/>
        <v>4268.8179863999994</v>
      </c>
      <c r="J29" s="37"/>
    </row>
    <row r="30" spans="1:10" ht="51" x14ac:dyDescent="0.2">
      <c r="A30" s="210" t="s">
        <v>11</v>
      </c>
      <c r="B30" s="60" t="s">
        <v>217</v>
      </c>
      <c r="C30" s="265" t="s">
        <v>286</v>
      </c>
      <c r="D30" s="24" t="s">
        <v>83</v>
      </c>
      <c r="E30" s="248">
        <f>'MEMÓRIA DE CÁLCULO'!H67</f>
        <v>879.0777599999999</v>
      </c>
      <c r="F30" s="254">
        <v>1.57</v>
      </c>
      <c r="G30" s="254">
        <f t="shared" si="3"/>
        <v>2.0163510000000002</v>
      </c>
      <c r="H30" s="255">
        <f t="shared" si="1"/>
        <v>1772.52932045376</v>
      </c>
      <c r="J30" s="37"/>
    </row>
    <row r="31" spans="1:10" ht="25.5" x14ac:dyDescent="0.2">
      <c r="A31" s="208" t="s">
        <v>189</v>
      </c>
      <c r="B31" s="60" t="s">
        <v>288</v>
      </c>
      <c r="C31" s="174" t="s">
        <v>289</v>
      </c>
      <c r="D31" s="24" t="s">
        <v>0</v>
      </c>
      <c r="E31" s="248">
        <f>'MEMÓRIA DE CÁLCULO'!F76</f>
        <v>941.59999999999991</v>
      </c>
      <c r="F31" s="254">
        <v>1.87</v>
      </c>
      <c r="G31" s="254">
        <f t="shared" si="3"/>
        <v>2.4016410000000001</v>
      </c>
      <c r="H31" s="255">
        <f>G31*E31</f>
        <v>2261.3851655999997</v>
      </c>
      <c r="J31" s="37"/>
    </row>
    <row r="32" spans="1:10" ht="51" x14ac:dyDescent="0.2">
      <c r="A32" s="208" t="s">
        <v>190</v>
      </c>
      <c r="B32" s="60" t="s">
        <v>217</v>
      </c>
      <c r="C32" s="265" t="s">
        <v>285</v>
      </c>
      <c r="D32" s="24" t="s">
        <v>83</v>
      </c>
      <c r="E32" s="248">
        <f>'MEMÓRIA DE CÁLCULO'!H85</f>
        <v>366.28239999999994</v>
      </c>
      <c r="F32" s="254">
        <v>1.57</v>
      </c>
      <c r="G32" s="254">
        <f t="shared" si="3"/>
        <v>2.0163510000000002</v>
      </c>
      <c r="H32" s="255">
        <f>G32*E32</f>
        <v>738.55388352239993</v>
      </c>
      <c r="J32" s="37"/>
    </row>
    <row r="33" spans="1:10" ht="51" x14ac:dyDescent="0.2">
      <c r="A33" s="208" t="s">
        <v>191</v>
      </c>
      <c r="B33" s="60" t="s">
        <v>211</v>
      </c>
      <c r="C33" s="174" t="s">
        <v>212</v>
      </c>
      <c r="D33" s="57" t="s">
        <v>2</v>
      </c>
      <c r="E33" s="248">
        <f>'MEMÓRIA DE CÁLCULO'!G94</f>
        <v>32.956000000000003</v>
      </c>
      <c r="F33" s="254">
        <v>741.11</v>
      </c>
      <c r="G33" s="254">
        <f t="shared" si="3"/>
        <v>951.80757300000005</v>
      </c>
      <c r="H33" s="255">
        <f t="shared" ref="H33:H38" si="4">G33*E33</f>
        <v>31367.770375788004</v>
      </c>
      <c r="J33" s="37"/>
    </row>
    <row r="34" spans="1:10" ht="51" x14ac:dyDescent="0.2">
      <c r="A34" s="208" t="s">
        <v>192</v>
      </c>
      <c r="B34" s="60" t="s">
        <v>217</v>
      </c>
      <c r="C34" s="265" t="s">
        <v>284</v>
      </c>
      <c r="D34" s="24" t="s">
        <v>73</v>
      </c>
      <c r="E34" s="248">
        <f>'MEMÓRIA DE CÁLCULO'!H103</f>
        <v>530.46636720000015</v>
      </c>
      <c r="F34" s="254">
        <v>1.57</v>
      </c>
      <c r="G34" s="254">
        <f t="shared" si="3"/>
        <v>2.0163510000000002</v>
      </c>
      <c r="H34" s="255">
        <f t="shared" si="4"/>
        <v>1069.6063899700875</v>
      </c>
      <c r="J34" s="266"/>
    </row>
    <row r="35" spans="1:10" ht="51" x14ac:dyDescent="0.2">
      <c r="A35" s="208" t="s">
        <v>193</v>
      </c>
      <c r="B35" s="60" t="s">
        <v>217</v>
      </c>
      <c r="C35" s="265" t="s">
        <v>283</v>
      </c>
      <c r="D35" s="24" t="s">
        <v>73</v>
      </c>
      <c r="E35" s="248">
        <f>'MEMÓRIA DE CÁLCULO'!H112</f>
        <v>8768.8006560000013</v>
      </c>
      <c r="F35" s="254">
        <v>1.57</v>
      </c>
      <c r="G35" s="254">
        <f t="shared" si="3"/>
        <v>2.0163510000000002</v>
      </c>
      <c r="H35" s="255">
        <f t="shared" si="4"/>
        <v>17680.97997152626</v>
      </c>
      <c r="J35" s="37"/>
    </row>
    <row r="36" spans="1:10" ht="51" x14ac:dyDescent="0.2">
      <c r="A36" s="208" t="s">
        <v>194</v>
      </c>
      <c r="B36" s="60" t="s">
        <v>217</v>
      </c>
      <c r="C36" s="265" t="str">
        <f>C25</f>
        <v>TRANSPORTE DE MATERIAL DE QUALQUER NATUREZA EM
CAMINHÃO, DISTÂNCIA MAIOR QUE 5KM E MENOR OU IGUAL A
10KM, DENTRO DO PERÍMETRO URBANO, EXCLUSIVE CARGA,
INCLUSIVE DESCARGA</v>
      </c>
      <c r="D36" s="57" t="s">
        <v>73</v>
      </c>
      <c r="E36" s="248">
        <f>'MEMÓRIA DE CÁLCULO'!H121</f>
        <v>65.912000000000006</v>
      </c>
      <c r="F36" s="254">
        <v>1.57</v>
      </c>
      <c r="G36" s="254">
        <f t="shared" si="3"/>
        <v>2.0163510000000002</v>
      </c>
      <c r="H36" s="255">
        <f t="shared" si="4"/>
        <v>132.90172711200003</v>
      </c>
      <c r="J36" s="37"/>
    </row>
    <row r="37" spans="1:10" ht="29.25" customHeight="1" x14ac:dyDescent="0.2">
      <c r="A37" s="208" t="s">
        <v>195</v>
      </c>
      <c r="B37" s="60" t="s">
        <v>218</v>
      </c>
      <c r="C37" s="265" t="s">
        <v>219</v>
      </c>
      <c r="D37" s="57" t="s">
        <v>216</v>
      </c>
      <c r="E37" s="248">
        <f>E33</f>
        <v>32.956000000000003</v>
      </c>
      <c r="F37" s="254">
        <v>2.92</v>
      </c>
      <c r="G37" s="254">
        <f t="shared" si="3"/>
        <v>3.750156</v>
      </c>
      <c r="H37" s="255">
        <f t="shared" si="4"/>
        <v>123.59014113600001</v>
      </c>
      <c r="J37" s="37"/>
    </row>
    <row r="38" spans="1:10" ht="51" x14ac:dyDescent="0.2">
      <c r="A38" s="208" t="s">
        <v>215</v>
      </c>
      <c r="B38" s="60" t="s">
        <v>217</v>
      </c>
      <c r="C38" s="265" t="s">
        <v>282</v>
      </c>
      <c r="D38" s="24" t="s">
        <v>83</v>
      </c>
      <c r="E38" s="248">
        <f>'MEMÓRIA DE CÁLCULO'!H140</f>
        <v>4358.7605600000006</v>
      </c>
      <c r="F38" s="254">
        <v>1.57</v>
      </c>
      <c r="G38" s="254">
        <f t="shared" si="3"/>
        <v>2.0163510000000002</v>
      </c>
      <c r="H38" s="255">
        <f t="shared" si="4"/>
        <v>8788.7912139165619</v>
      </c>
      <c r="J38" s="37"/>
    </row>
    <row r="39" spans="1:10" ht="16.5" thickBot="1" x14ac:dyDescent="0.3">
      <c r="A39" s="223"/>
      <c r="B39" s="199"/>
      <c r="C39" s="196"/>
      <c r="D39" s="203" t="s">
        <v>126</v>
      </c>
      <c r="E39" s="203"/>
      <c r="F39" s="203"/>
      <c r="G39" s="251"/>
      <c r="H39" s="256">
        <f>SUM(H29:H38)</f>
        <v>68204.926175425077</v>
      </c>
      <c r="J39" s="37"/>
    </row>
    <row r="40" spans="1:10" ht="15.75" thickBot="1" x14ac:dyDescent="0.25">
      <c r="A40" s="198">
        <v>4</v>
      </c>
      <c r="B40" s="193"/>
      <c r="C40" s="200" t="s">
        <v>113</v>
      </c>
      <c r="D40" s="194"/>
      <c r="E40" s="191"/>
      <c r="F40" s="191"/>
      <c r="G40" s="191"/>
      <c r="H40" s="195"/>
      <c r="J40" s="37"/>
    </row>
    <row r="41" spans="1:10" ht="39" thickBot="1" x14ac:dyDescent="0.25">
      <c r="A41" s="207" t="s">
        <v>12</v>
      </c>
      <c r="B41" s="189">
        <v>94267</v>
      </c>
      <c r="C41" s="205" t="s">
        <v>287</v>
      </c>
      <c r="D41" s="204" t="s">
        <v>55</v>
      </c>
      <c r="E41" s="250">
        <f>'MEMÓRIA DE CÁLCULO'!G149</f>
        <v>442</v>
      </c>
      <c r="F41" s="257">
        <v>55.92</v>
      </c>
      <c r="G41" s="257">
        <f>F41*(1+$H$9)</f>
        <v>71.818055999999999</v>
      </c>
      <c r="H41" s="258">
        <f>G41*E41</f>
        <v>31743.580751999998</v>
      </c>
      <c r="J41" s="37"/>
    </row>
    <row r="42" spans="1:10" ht="16.5" thickBot="1" x14ac:dyDescent="0.3">
      <c r="A42" s="416" t="s">
        <v>126</v>
      </c>
      <c r="B42" s="416"/>
      <c r="C42" s="416"/>
      <c r="D42" s="416"/>
      <c r="E42" s="416"/>
      <c r="F42" s="416"/>
      <c r="G42" s="417"/>
      <c r="H42" s="262">
        <f>SUM(H41:H41)</f>
        <v>31743.580751999998</v>
      </c>
      <c r="J42" s="37"/>
    </row>
    <row r="43" spans="1:10" s="1" customFormat="1" ht="16.5" thickBot="1" x14ac:dyDescent="0.3">
      <c r="A43" s="259" t="s">
        <v>84</v>
      </c>
      <c r="B43" s="260"/>
      <c r="C43" s="260"/>
      <c r="D43" s="260"/>
      <c r="E43" s="260"/>
      <c r="F43" s="260"/>
      <c r="G43" s="260"/>
      <c r="H43" s="261">
        <f>SUM(H42+H39+H27+H20)</f>
        <v>132028.74572457536</v>
      </c>
    </row>
    <row r="44" spans="1:10" s="1" customFormat="1" ht="15.75" x14ac:dyDescent="0.25">
      <c r="A44" s="10"/>
      <c r="B44" s="10"/>
      <c r="C44" s="10"/>
      <c r="D44" s="10"/>
      <c r="E44" s="10"/>
      <c r="F44" s="10"/>
      <c r="G44" s="10"/>
      <c r="H44" s="201"/>
    </row>
    <row r="45" spans="1:10" s="1" customFormat="1" ht="15.75" x14ac:dyDescent="0.25">
      <c r="A45" s="10"/>
      <c r="B45" s="10"/>
      <c r="C45" s="10"/>
      <c r="D45" s="10"/>
      <c r="E45" s="10"/>
      <c r="F45" s="10"/>
      <c r="G45" s="10"/>
      <c r="H45" s="201"/>
    </row>
    <row r="47" spans="1:10" x14ac:dyDescent="0.2">
      <c r="A47" s="410"/>
      <c r="B47" s="410"/>
      <c r="C47" s="410"/>
    </row>
    <row r="48" spans="1:10" x14ac:dyDescent="0.2">
      <c r="A48" s="411" t="s">
        <v>203</v>
      </c>
      <c r="B48" s="411"/>
      <c r="C48" s="411"/>
      <c r="D48" s="25" t="s">
        <v>120</v>
      </c>
      <c r="E48" s="412" t="s">
        <v>188</v>
      </c>
      <c r="F48" s="412"/>
      <c r="G48" s="412"/>
    </row>
    <row r="49" spans="1:8" x14ac:dyDescent="0.2">
      <c r="A49" s="409" t="s">
        <v>226</v>
      </c>
      <c r="B49" s="409"/>
      <c r="C49" s="409"/>
      <c r="E49" s="409" t="s">
        <v>132</v>
      </c>
      <c r="F49" s="409"/>
      <c r="G49" s="409"/>
    </row>
    <row r="50" spans="1:8" x14ac:dyDescent="0.2">
      <c r="A50" s="409" t="s">
        <v>204</v>
      </c>
      <c r="B50" s="409"/>
      <c r="C50" s="409"/>
    </row>
    <row r="60" spans="1:8" x14ac:dyDescent="0.2">
      <c r="H60" s="37"/>
    </row>
  </sheetData>
  <dataConsolidate/>
  <mergeCells count="20">
    <mergeCell ref="A47:C47"/>
    <mergeCell ref="A48:C48"/>
    <mergeCell ref="A49:C49"/>
    <mergeCell ref="A50:C50"/>
    <mergeCell ref="E48:G48"/>
    <mergeCell ref="E49:G49"/>
    <mergeCell ref="A20:G20"/>
    <mergeCell ref="A27:G27"/>
    <mergeCell ref="A42:G42"/>
    <mergeCell ref="H14:H15"/>
    <mergeCell ref="A3:H3"/>
    <mergeCell ref="A5:E5"/>
    <mergeCell ref="E7:H7"/>
    <mergeCell ref="A12:A13"/>
    <mergeCell ref="B12:B13"/>
    <mergeCell ref="F12:G12"/>
    <mergeCell ref="H12:H13"/>
    <mergeCell ref="C12:C13"/>
    <mergeCell ref="D12:D13"/>
    <mergeCell ref="E12:E13"/>
  </mergeCells>
  <phoneticPr fontId="4" type="noConversion"/>
  <printOptions horizontalCentered="1"/>
  <pageMargins left="0.39370078740157483" right="0.35433070866141736" top="0.27559055118110237" bottom="0.15748031496062992" header="0.31496062992125984" footer="0.27559055118110237"/>
  <pageSetup paperSize="9" scale="80" fitToHeight="0" orientation="landscape" r:id="rId1"/>
  <headerFooter alignWithMargins="0"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38100</xdr:rowOff>
              </from>
              <to>
                <xdr:col>2</xdr:col>
                <xdr:colOff>304800</xdr:colOff>
                <xdr:row>0</xdr:row>
                <xdr:rowOff>742950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opLeftCell="A25" workbookViewId="0">
      <selection activeCell="E14" sqref="E14"/>
    </sheetView>
  </sheetViews>
  <sheetFormatPr defaultRowHeight="12.75" x14ac:dyDescent="0.2"/>
  <cols>
    <col min="1" max="1" width="8.42578125" customWidth="1"/>
    <col min="2" max="2" width="14.5703125" customWidth="1"/>
    <col min="3" max="3" width="63" style="69" customWidth="1"/>
    <col min="5" max="5" width="69.5703125" style="25" customWidth="1"/>
  </cols>
  <sheetData>
    <row r="1" spans="1:5" ht="15" x14ac:dyDescent="0.2">
      <c r="A1" s="1" t="s">
        <v>127</v>
      </c>
    </row>
    <row r="2" spans="1:5" ht="15" x14ac:dyDescent="0.2">
      <c r="A2" s="1" t="s">
        <v>221</v>
      </c>
    </row>
    <row r="3" spans="1:5" ht="15" x14ac:dyDescent="0.2">
      <c r="A3" s="22" t="s">
        <v>170</v>
      </c>
      <c r="B3" s="40">
        <f>BDI!D26</f>
        <v>0.2843</v>
      </c>
    </row>
    <row r="4" spans="1:5" ht="15" x14ac:dyDescent="0.2">
      <c r="A4" s="22" t="s">
        <v>228</v>
      </c>
    </row>
    <row r="5" spans="1:5" ht="15" x14ac:dyDescent="0.2">
      <c r="A5" s="22" t="s">
        <v>227</v>
      </c>
    </row>
    <row r="6" spans="1:5" ht="17.25" customHeight="1" x14ac:dyDescent="0.2">
      <c r="A6" s="23" t="s">
        <v>38</v>
      </c>
      <c r="B6" s="23" t="s">
        <v>70</v>
      </c>
      <c r="C6" s="23" t="s">
        <v>71</v>
      </c>
      <c r="D6" s="23" t="s">
        <v>39</v>
      </c>
      <c r="E6" s="46" t="s">
        <v>72</v>
      </c>
    </row>
    <row r="7" spans="1:5" ht="17.25" customHeight="1" x14ac:dyDescent="0.2">
      <c r="A7" s="62">
        <v>1</v>
      </c>
      <c r="B7" s="62"/>
      <c r="C7" s="65" t="s">
        <v>79</v>
      </c>
      <c r="D7" s="62"/>
      <c r="E7" s="24"/>
    </row>
    <row r="8" spans="1:5" ht="76.5" x14ac:dyDescent="0.2">
      <c r="A8" s="60" t="s">
        <v>5</v>
      </c>
      <c r="B8" s="34" t="str">
        <f>'PLANILHA OFICIAL '!B17</f>
        <v>ED-28427</v>
      </c>
      <c r="C8" s="48" t="str">
        <f>'PLANILHA OFICIAL '!C17</f>
        <v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v>
      </c>
      <c r="D8" s="24" t="s">
        <v>60</v>
      </c>
      <c r="E8" s="57" t="s">
        <v>97</v>
      </c>
    </row>
    <row r="9" spans="1:5" ht="25.5" x14ac:dyDescent="0.2">
      <c r="A9" s="60" t="s">
        <v>6</v>
      </c>
      <c r="B9" s="34" t="str">
        <f>'PLANILHA OFICIAL '!B18</f>
        <v>ED-50274</v>
      </c>
      <c r="C9" s="48" t="str">
        <f>'PLANILHA OFICIAL '!C18</f>
        <v>LOCAÇÃO TOPOGRÁFICA PARA ATÉ VINTE (20) PONTOS
REFERENCIAIS, INCLUSIVE ESTACA (PIQUETE) DE MARCAÇÃO</v>
      </c>
      <c r="D9" s="24" t="s">
        <v>80</v>
      </c>
      <c r="E9" s="57" t="s">
        <v>98</v>
      </c>
    </row>
    <row r="10" spans="1:5" ht="25.5" x14ac:dyDescent="0.2">
      <c r="A10" s="60" t="s">
        <v>199</v>
      </c>
      <c r="B10" s="60" t="str">
        <f>'PLANILHA OFICIAL '!B19</f>
        <v>ED-50392</v>
      </c>
      <c r="C10" s="48" t="str">
        <f>'PLANILHA OFICIAL '!C19</f>
        <v>MOBILIZAÇÃO E DESMOBILIZAÇÃO DE OBRA EM CENTRO URBANO
OU REGIÃO LIMÍTROFE COM VALOR ATÉ O VALOR DE 1.000.000,00</v>
      </c>
      <c r="D10" s="24" t="s">
        <v>81</v>
      </c>
      <c r="E10" s="57" t="s">
        <v>137</v>
      </c>
    </row>
    <row r="11" spans="1:5" s="1" customFormat="1" ht="15.75" x14ac:dyDescent="0.2">
      <c r="A11" s="63"/>
      <c r="B11" s="63"/>
      <c r="C11" s="66"/>
      <c r="D11" s="64"/>
      <c r="E11" s="64"/>
    </row>
    <row r="12" spans="1:5" x14ac:dyDescent="0.2">
      <c r="A12" s="202">
        <v>2</v>
      </c>
      <c r="B12" s="34"/>
      <c r="C12" s="65" t="s">
        <v>1</v>
      </c>
      <c r="D12" s="24"/>
      <c r="E12" s="24"/>
    </row>
    <row r="13" spans="1:5" ht="51" x14ac:dyDescent="0.2">
      <c r="A13" s="202" t="s">
        <v>121</v>
      </c>
      <c r="B13" s="34" t="str">
        <f>'MEMÓRIA DE CÁLCULO'!B16</f>
        <v>ED-51124</v>
      </c>
      <c r="C13" s="515" t="s">
        <v>308</v>
      </c>
      <c r="D13" s="57" t="s">
        <v>2</v>
      </c>
      <c r="E13" s="57" t="s">
        <v>310</v>
      </c>
    </row>
    <row r="14" spans="1:5" ht="38.25" x14ac:dyDescent="0.2">
      <c r="A14" s="60" t="s">
        <v>122</v>
      </c>
      <c r="B14" s="60" t="str">
        <f>'PLANILHA OFICIAL '!B23</f>
        <v>ED-51124</v>
      </c>
      <c r="C14" s="61" t="str">
        <f>'PLANILHA OFICIAL '!C23</f>
        <v>REGULARIZAÇÃO E COMPACTAÇÃO MECÂNICA DE TERRENO COM
ROLO VIBRATÓRIO, EXCLUSIVE DESMATAMENTO,
DESTOCAMENTO, LIMPEZA/ROÇADA DO TERRENO</v>
      </c>
      <c r="D14" s="57" t="s">
        <v>0</v>
      </c>
      <c r="E14" s="58" t="s">
        <v>62</v>
      </c>
    </row>
    <row r="15" spans="1:5" ht="38.25" x14ac:dyDescent="0.2">
      <c r="A15" s="60" t="s">
        <v>123</v>
      </c>
      <c r="B15" s="34" t="str">
        <f>'PLANILHA OFICIAL '!B24</f>
        <v>RO-00318</v>
      </c>
      <c r="C15" s="61" t="str">
        <f>'PLANILHA OFICIAL '!C24</f>
        <v>Base de solo estabilizado granulometricamente sem mistura com
material de jazida - Compactado na energia modificada (Execução,
incluído escavação e carga do material de jazida, exclui o transporte)</v>
      </c>
      <c r="D15" s="24" t="s">
        <v>2</v>
      </c>
      <c r="E15" s="47" t="s">
        <v>96</v>
      </c>
    </row>
    <row r="16" spans="1:5" ht="15.75" customHeight="1" x14ac:dyDescent="0.2">
      <c r="A16" s="60" t="s">
        <v>124</v>
      </c>
      <c r="B16" s="34" t="str">
        <f>'PLANILHA OFICIAL '!B25</f>
        <v>ED-29232</v>
      </c>
      <c r="C16" s="48" t="str">
        <f>'PLANILHA OFICIAL '!C25</f>
        <v>TRANSPORTE DE MATERIAL DE QUALQUER NATUREZA EM
CAMINHÃO, DISTÂNCIA MAIOR QUE 5KM E MENOR OU IGUAL A
10KM, DENTRO DO PERÍMETRO URBANO, EXCLUSIVE CARGA,
INCLUSIVE DESCARGA</v>
      </c>
      <c r="D16" s="24" t="s">
        <v>73</v>
      </c>
      <c r="E16" s="70" t="s">
        <v>136</v>
      </c>
    </row>
    <row r="17" spans="1:5" s="183" customFormat="1" ht="30" customHeight="1" x14ac:dyDescent="0.2">
      <c r="A17" s="180" t="s">
        <v>185</v>
      </c>
      <c r="B17" s="181">
        <f>'PLANILHA OFICIAL '!B26</f>
        <v>4743</v>
      </c>
      <c r="C17" s="246" t="str">
        <f>'PLANILHA OFICIAL '!C26</f>
        <v>CASCALHO DE CAVA</v>
      </c>
      <c r="D17" s="182" t="s">
        <v>2</v>
      </c>
      <c r="E17" s="184" t="s">
        <v>309</v>
      </c>
    </row>
    <row r="18" spans="1:5" x14ac:dyDescent="0.2">
      <c r="A18" s="34"/>
      <c r="B18" s="34"/>
      <c r="C18" s="48"/>
      <c r="D18" s="24"/>
      <c r="E18" s="24"/>
    </row>
    <row r="19" spans="1:5" x14ac:dyDescent="0.2">
      <c r="A19" s="202">
        <v>3</v>
      </c>
      <c r="B19" s="34"/>
      <c r="C19" s="65" t="s">
        <v>9</v>
      </c>
      <c r="D19" s="24"/>
      <c r="E19" s="24"/>
    </row>
    <row r="20" spans="1:5" ht="41.25" customHeight="1" x14ac:dyDescent="0.2">
      <c r="A20" s="34" t="s">
        <v>10</v>
      </c>
      <c r="B20" s="34" t="str">
        <f>'PLANILHA OFICIAL '!B29</f>
        <v>RO-51228</v>
      </c>
      <c r="C20" s="48" t="str">
        <f>'PLANILHA OFICIAL '!C29</f>
        <v>Imprimação (Execução e fornecimento do material betuminoso, exclusive
transporte do material betuminoso)</v>
      </c>
      <c r="D20" s="24" t="s">
        <v>0</v>
      </c>
      <c r="E20" s="47" t="s">
        <v>62</v>
      </c>
    </row>
    <row r="21" spans="1:5" ht="28.5" customHeight="1" x14ac:dyDescent="0.2">
      <c r="A21" s="34" t="s">
        <v>11</v>
      </c>
      <c r="B21" s="34" t="str">
        <f>'PLANILHA OFICIAL '!B23</f>
        <v>ED-51124</v>
      </c>
      <c r="C21" s="48" t="str">
        <f>'PLANILHA OFICIAL '!C30</f>
        <v>TRANSPORTE DE MATERIAL DE QUALQUER NATUREZA EM
CAMINHÃO, DISTÂNCIA MAIORES QUE 30KM, DENTRO DO
PERÍMETRO URBANO, EXCLUSIVE CARGA, INCLUSIVE DESCARGA. BELO HORIZONTE - MONTALVANIA (CM-30/IMPRIMA)</v>
      </c>
      <c r="D21" s="24" t="s">
        <v>83</v>
      </c>
      <c r="E21" s="47" t="s">
        <v>135</v>
      </c>
    </row>
    <row r="22" spans="1:5" ht="40.5" customHeight="1" x14ac:dyDescent="0.2">
      <c r="A22" s="60" t="s">
        <v>189</v>
      </c>
      <c r="B22" s="34" t="str">
        <f>'PLANILHA OFICIAL '!B31</f>
        <v>RO-51229</v>
      </c>
      <c r="C22" s="48" t="str">
        <f>'PLANILHA OFICIAL '!C31</f>
        <v>Pintura de ligação (Execução e fornecimento do material betuminoso,
exclusive transporte do material betuminoso)</v>
      </c>
      <c r="D22" s="24" t="s">
        <v>0</v>
      </c>
      <c r="E22" s="59" t="s">
        <v>178</v>
      </c>
    </row>
    <row r="23" spans="1:5" ht="27.75" customHeight="1" x14ac:dyDescent="0.2">
      <c r="A23" s="60" t="s">
        <v>190</v>
      </c>
      <c r="B23" s="34" t="str">
        <f>'PLANILHA OFICIAL '!B30</f>
        <v>ED-29235</v>
      </c>
      <c r="C23" s="61" t="str">
        <f>'PLANILHA OFICIAL '!C32</f>
        <v>TRANSPORTE DE MATERIAL DE QUALQUER NATUREZA EM
CAMINHÃO, DISTÂNCIA MAIORES QUE 30KM, DENTRO DO
PERÍMETRO URBANO, EXCLUSIVE CARGA, INCLUSIVE DESCARGA. BELO HORIZONTE - MONTALVANIA (RR-1C)</v>
      </c>
      <c r="D23" s="24" t="s">
        <v>83</v>
      </c>
      <c r="E23" s="59" t="s">
        <v>177</v>
      </c>
    </row>
    <row r="24" spans="1:5" ht="65.25" customHeight="1" x14ac:dyDescent="0.2">
      <c r="A24" s="60" t="s">
        <v>191</v>
      </c>
      <c r="B24" s="52" t="str">
        <f>'PLANILHA OFICIAL '!B33</f>
        <v>RO-14021</v>
      </c>
      <c r="C24" s="174" t="str">
        <f>'PLANILHA OFICIAL '!C33</f>
        <v>Pré-misturado a frio - PMF (Execução, incluindo usinagem, aplicação,
espalhamento e compactação, fornecimento dos agregados e material
betuminoso, exclui transporte dos agregados e do material betuminoso
até usina e da massa pronta até a pista)</v>
      </c>
      <c r="D24" s="24" t="s">
        <v>2</v>
      </c>
      <c r="E24" s="59" t="s">
        <v>184</v>
      </c>
    </row>
    <row r="25" spans="1:5" ht="24.75" customHeight="1" x14ac:dyDescent="0.2">
      <c r="A25" s="60" t="s">
        <v>192</v>
      </c>
      <c r="B25" s="34" t="str">
        <f>'PLANILHA OFICIAL '!B34</f>
        <v>ED-29235</v>
      </c>
      <c r="C25" s="175" t="str">
        <f>'PLANILHA OFICIAL '!C34</f>
        <v>TRANSPORTE DE MATERIAL DE QUALQUER NATUREZA EM
CAMINHÃO, DISTÂNCIA MAIORES QUE 30KM, DENTRO DO
PERÍMETRO URBANO, EXCLUSIVE CARGA, INCLUSIVE DESCARGA. MANGA- MONTALVANIA (AREIA)</v>
      </c>
      <c r="D25" s="24" t="s">
        <v>73</v>
      </c>
      <c r="E25" s="59" t="s">
        <v>181</v>
      </c>
    </row>
    <row r="26" spans="1:5" ht="26.25" customHeight="1" x14ac:dyDescent="0.2">
      <c r="A26" s="60" t="s">
        <v>193</v>
      </c>
      <c r="B26" s="34" t="str">
        <f>'PLANILHA OFICIAL '!B35</f>
        <v>ED-29235</v>
      </c>
      <c r="C26" s="176" t="str">
        <f>'PLANILHA OFICIAL '!C35</f>
        <v>TRANSPORTE DE MATERIAL DE QUALQUER NATUREZA EM
CAMINHÃO, DISTÂNCIA MAIORES QUE 30KM, DENTRO DO
PERÍMETRO URBANO, EXCLUSIVE CARGA, INCLUSIVE DESCARGA. JANAÚBA - MONTALVANIA (BRITA</v>
      </c>
      <c r="D26" s="24" t="s">
        <v>73</v>
      </c>
      <c r="E26" s="59" t="s">
        <v>182</v>
      </c>
    </row>
    <row r="27" spans="1:5" ht="27.75" customHeight="1" x14ac:dyDescent="0.2">
      <c r="A27" s="60" t="s">
        <v>194</v>
      </c>
      <c r="B27" s="34" t="str">
        <f>'PLANILHA OFICIAL '!B36</f>
        <v>ED-29235</v>
      </c>
      <c r="C27" s="61" t="str">
        <f>'PLANILHA OFICIAL '!C36</f>
        <v>TRANSPORTE DE MATERIAL DE QUALQUER NATUREZA EM
CAMINHÃO, DISTÂNCIA MAIOR QUE 5KM E MENOR OU IGUAL A
10KM, DENTRO DO PERÍMETRO URBANO, EXCLUSIVE CARGA,
INCLUSIVE DESCARGA</v>
      </c>
      <c r="D27" s="24" t="s">
        <v>83</v>
      </c>
      <c r="E27" s="57" t="s">
        <v>129</v>
      </c>
    </row>
    <row r="28" spans="1:5" ht="27.75" customHeight="1" x14ac:dyDescent="0.2">
      <c r="A28" s="60" t="s">
        <v>195</v>
      </c>
      <c r="B28" s="34" t="str">
        <f>'PLANILHA OFICIAL '!B37</f>
        <v>ED-51132</v>
      </c>
      <c r="C28" s="61" t="str">
        <f>'PLANILHA OFICIAL '!C37</f>
        <v>CARGA MECÂNICA DE MATERIAL DE QUALQUER NATUREZA
SOBRE CAMINHÃO, EXCLUSIVE TRANSPORTE (PMF)</v>
      </c>
      <c r="D28" s="24"/>
      <c r="E28" s="57"/>
    </row>
    <row r="29" spans="1:5" ht="24.75" customHeight="1" x14ac:dyDescent="0.2">
      <c r="A29" s="60" t="s">
        <v>215</v>
      </c>
      <c r="B29" s="34" t="str">
        <f>'PLANILHA OFICIAL '!B38</f>
        <v>ED-29235</v>
      </c>
      <c r="C29" s="48" t="str">
        <f>'PLANILHA OFICIAL '!C38</f>
        <v>TRANSPORTE DE MATERIAL DE QUALQUER NATUREZA EM
CAMINHÃO, DISTÂNCIA MAIORES QUE 30KM, DENTRO DO
PERÍMETRO URBANO, EXCLUSIVE CARGA, INCLUSIVE DESCARGA. BELO HORIZONTE - MONTALVANIA (PMF)</v>
      </c>
      <c r="D29" s="24" t="s">
        <v>83</v>
      </c>
      <c r="E29" s="47" t="s">
        <v>183</v>
      </c>
    </row>
    <row r="30" spans="1:5" x14ac:dyDescent="0.2">
      <c r="A30" s="34"/>
      <c r="B30" s="34"/>
      <c r="C30" s="68"/>
      <c r="D30" s="24"/>
      <c r="E30" s="24"/>
    </row>
    <row r="31" spans="1:5" x14ac:dyDescent="0.2">
      <c r="A31" s="202">
        <v>4</v>
      </c>
      <c r="B31" s="34"/>
      <c r="C31" s="67" t="s">
        <v>113</v>
      </c>
      <c r="D31" s="24"/>
      <c r="E31" s="24"/>
    </row>
    <row r="32" spans="1:5" ht="90.75" customHeight="1" x14ac:dyDescent="0.2">
      <c r="A32" s="60" t="s">
        <v>12</v>
      </c>
      <c r="B32" s="34">
        <f>'PLANILHA OFICIAL '!B41</f>
        <v>94267</v>
      </c>
      <c r="C32" s="109" t="str">
        <f>'PLANILHA OFICIAL '!C41</f>
        <v>GUIA (MEIO-FIO) E SARJETA CONJUGADOS DE CONCRETO, MOLDADA IN LOCO EM TRECHO RETO COM EXTRUSORA, 45 CM BASE (15 CM BASE DA GUIA + 30 CM BASE DA SARJETA) X 22 CM ALTURA. AF_01/2024</v>
      </c>
      <c r="D32" s="57" t="s">
        <v>55</v>
      </c>
      <c r="E32" s="57" t="s">
        <v>125</v>
      </c>
    </row>
    <row r="33" spans="1:7" x14ac:dyDescent="0.2">
      <c r="A33" s="410"/>
      <c r="B33" s="410"/>
      <c r="C33" s="410"/>
      <c r="D33" s="25"/>
    </row>
    <row r="34" spans="1:7" ht="14.25" x14ac:dyDescent="0.2">
      <c r="C34" s="38"/>
      <c r="D34" s="25"/>
      <c r="E34" s="36"/>
      <c r="F34" s="247"/>
      <c r="G34" s="247"/>
    </row>
    <row r="35" spans="1:7" ht="14.25" x14ac:dyDescent="0.2">
      <c r="C35" s="38"/>
      <c r="D35" s="25"/>
      <c r="E35" s="108"/>
      <c r="F35" s="11"/>
      <c r="G35" s="11"/>
    </row>
    <row r="36" spans="1:7" ht="14.25" x14ac:dyDescent="0.2">
      <c r="C36" s="38"/>
      <c r="D36" s="25"/>
      <c r="E36" s="108"/>
      <c r="F36" s="11"/>
      <c r="G36" s="11"/>
    </row>
    <row r="39" spans="1:7" x14ac:dyDescent="0.2">
      <c r="C39" s="25"/>
    </row>
    <row r="40" spans="1:7" x14ac:dyDescent="0.2">
      <c r="C40" s="25"/>
    </row>
    <row r="41" spans="1:7" x14ac:dyDescent="0.2">
      <c r="C41" s="36" t="s">
        <v>203</v>
      </c>
    </row>
    <row r="42" spans="1:7" x14ac:dyDescent="0.2">
      <c r="C42" s="108" t="s">
        <v>131</v>
      </c>
      <c r="E42" s="36"/>
    </row>
    <row r="43" spans="1:7" x14ac:dyDescent="0.2">
      <c r="C43" s="108" t="s">
        <v>204</v>
      </c>
      <c r="E43" s="108"/>
    </row>
    <row r="44" spans="1:7" x14ac:dyDescent="0.2">
      <c r="C44" s="25"/>
      <c r="E44" s="108"/>
    </row>
  </sheetData>
  <mergeCells count="1">
    <mergeCell ref="A33:C33"/>
  </mergeCells>
  <phoneticPr fontId="4" type="noConversion"/>
  <pageMargins left="0.51181102362204722" right="0.51181102362204722" top="0.94488188976377963" bottom="0.78740157480314965" header="0.47244094488188981" footer="0.31496062992125984"/>
  <pageSetup paperSize="9" scale="57" orientation="portrait" r:id="rId1"/>
  <headerFooter>
    <oddHeader>&amp;C&amp;16EXPRESSÃO MATEMÁTICA PARA CÁLCULO DOS ITENS</oddHead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showGridLines="0" showZeros="0" zoomScale="115" zoomScaleNormal="115" workbookViewId="0">
      <selection activeCell="D6" sqref="D6:H7"/>
    </sheetView>
  </sheetViews>
  <sheetFormatPr defaultRowHeight="14.25" x14ac:dyDescent="0.2"/>
  <cols>
    <col min="1" max="1" width="13" customWidth="1"/>
    <col min="2" max="2" width="13.7109375" customWidth="1"/>
    <col min="3" max="3" width="11.7109375" style="38" customWidth="1"/>
    <col min="4" max="4" width="9.85546875" style="38" customWidth="1"/>
    <col min="5" max="6" width="13.28515625" style="38" customWidth="1"/>
    <col min="7" max="7" width="12" style="38" customWidth="1"/>
    <col min="8" max="8" width="11.140625" style="38" customWidth="1"/>
    <col min="9" max="9" width="16.42578125" style="38" customWidth="1"/>
    <col min="10" max="10" width="2.28515625" customWidth="1"/>
    <col min="11" max="11" width="27.140625" customWidth="1"/>
  </cols>
  <sheetData>
    <row r="1" spans="1:11" ht="15" x14ac:dyDescent="0.2">
      <c r="A1" s="1" t="s">
        <v>127</v>
      </c>
    </row>
    <row r="2" spans="1:11" x14ac:dyDescent="0.2">
      <c r="A2" s="11" t="s">
        <v>221</v>
      </c>
    </row>
    <row r="3" spans="1:11" ht="15" x14ac:dyDescent="0.2">
      <c r="A3" s="22" t="s">
        <v>170</v>
      </c>
      <c r="B3" s="40">
        <f>BDI!D26</f>
        <v>0.2843</v>
      </c>
    </row>
    <row r="4" spans="1:11" ht="15" x14ac:dyDescent="0.2">
      <c r="A4" s="22" t="s">
        <v>271</v>
      </c>
    </row>
    <row r="5" spans="1:11" ht="15.75" thickBot="1" x14ac:dyDescent="0.25">
      <c r="A5" s="22" t="s">
        <v>128</v>
      </c>
    </row>
    <row r="6" spans="1:11" s="11" customFormat="1" ht="21.75" customHeight="1" x14ac:dyDescent="0.25">
      <c r="A6" s="224" t="s">
        <v>38</v>
      </c>
      <c r="B6" s="225" t="s">
        <v>121</v>
      </c>
      <c r="C6" s="456" t="s">
        <v>35</v>
      </c>
      <c r="D6" s="438" t="s">
        <v>308</v>
      </c>
      <c r="E6" s="439"/>
      <c r="F6" s="439"/>
      <c r="G6" s="439"/>
      <c r="H6" s="440"/>
      <c r="I6" s="226" t="s">
        <v>39</v>
      </c>
    </row>
    <row r="7" spans="1:11" s="11" customFormat="1" ht="16.5" customHeight="1" x14ac:dyDescent="0.25">
      <c r="A7" s="227" t="s">
        <v>85</v>
      </c>
      <c r="B7" s="53" t="s">
        <v>306</v>
      </c>
      <c r="C7" s="449"/>
      <c r="D7" s="441"/>
      <c r="E7" s="442"/>
      <c r="F7" s="442"/>
      <c r="G7" s="442"/>
      <c r="H7" s="443"/>
      <c r="I7" s="228" t="s">
        <v>2</v>
      </c>
    </row>
    <row r="8" spans="1:11" s="35" customFormat="1" ht="14.25" customHeight="1" x14ac:dyDescent="0.2">
      <c r="A8" s="444" t="s">
        <v>40</v>
      </c>
      <c r="B8" s="445"/>
      <c r="C8" s="448" t="s">
        <v>41</v>
      </c>
      <c r="D8" s="450" t="s">
        <v>13</v>
      </c>
      <c r="E8" s="450" t="s">
        <v>42</v>
      </c>
      <c r="F8" s="452" t="s">
        <v>43</v>
      </c>
      <c r="G8" s="450" t="s">
        <v>44</v>
      </c>
      <c r="H8" s="452" t="s">
        <v>45</v>
      </c>
      <c r="I8" s="228" t="s">
        <v>46</v>
      </c>
    </row>
    <row r="9" spans="1:11" s="35" customFormat="1" ht="14.25" customHeight="1" x14ac:dyDescent="0.2">
      <c r="A9" s="446"/>
      <c r="B9" s="447"/>
      <c r="C9" s="449"/>
      <c r="D9" s="451"/>
      <c r="E9" s="451"/>
      <c r="F9" s="453"/>
      <c r="G9" s="451"/>
      <c r="H9" s="453"/>
      <c r="I9" s="229">
        <f>'PLANILHA OFICIAL '!G22</f>
        <v>3.6987839999999998</v>
      </c>
    </row>
    <row r="10" spans="1:11" s="36" customFormat="1" ht="15" x14ac:dyDescent="0.25">
      <c r="A10" s="454" t="s">
        <v>47</v>
      </c>
      <c r="B10" s="455"/>
      <c r="C10" s="41" t="s">
        <v>3</v>
      </c>
      <c r="D10" s="41" t="s">
        <v>3</v>
      </c>
      <c r="E10" s="41" t="s">
        <v>3</v>
      </c>
      <c r="F10" s="41" t="s">
        <v>7</v>
      </c>
      <c r="G10" s="41" t="s">
        <v>8</v>
      </c>
      <c r="H10" s="167" t="s">
        <v>48</v>
      </c>
      <c r="I10" s="230" t="s">
        <v>49</v>
      </c>
    </row>
    <row r="11" spans="1:11" s="346" customFormat="1" ht="15" x14ac:dyDescent="0.25">
      <c r="A11" s="457" t="s">
        <v>272</v>
      </c>
      <c r="B11" s="458"/>
      <c r="C11" s="280">
        <v>150</v>
      </c>
      <c r="D11" s="280">
        <v>5</v>
      </c>
      <c r="E11" s="280">
        <v>0.15</v>
      </c>
      <c r="F11" s="42">
        <f t="shared" ref="F11:F12" si="0">C11*D11</f>
        <v>750</v>
      </c>
      <c r="G11" s="42">
        <f t="shared" ref="G11:G12" si="1">E11*F11</f>
        <v>112.5</v>
      </c>
      <c r="H11" s="282"/>
      <c r="I11" s="231">
        <f t="shared" ref="I11:I12" si="2">$I$9*G11</f>
        <v>416.11320000000001</v>
      </c>
    </row>
    <row r="12" spans="1:11" s="346" customFormat="1" ht="15" x14ac:dyDescent="0.25">
      <c r="A12" s="457" t="s">
        <v>273</v>
      </c>
      <c r="B12" s="458"/>
      <c r="C12" s="280">
        <v>71</v>
      </c>
      <c r="D12" s="280">
        <v>5.5</v>
      </c>
      <c r="E12" s="280">
        <v>0.15</v>
      </c>
      <c r="F12" s="42">
        <f t="shared" si="0"/>
        <v>390.5</v>
      </c>
      <c r="G12" s="42">
        <f t="shared" si="1"/>
        <v>58.574999999999996</v>
      </c>
      <c r="H12" s="282"/>
      <c r="I12" s="231">
        <f t="shared" si="2"/>
        <v>216.65627279999998</v>
      </c>
    </row>
    <row r="13" spans="1:11" s="43" customFormat="1" ht="15.75" thickBot="1" x14ac:dyDescent="0.3">
      <c r="A13" s="476"/>
      <c r="B13" s="477"/>
      <c r="C13" s="236">
        <f>SUM(C11:C12)</f>
        <v>221</v>
      </c>
      <c r="D13" s="237"/>
      <c r="E13" s="238"/>
      <c r="F13" s="238">
        <f>SUM(F11:F12)</f>
        <v>1140.5</v>
      </c>
      <c r="G13" s="238">
        <f>SUM(G11:G12)</f>
        <v>171.07499999999999</v>
      </c>
      <c r="H13" s="239"/>
      <c r="I13" s="240">
        <f>SUM(I11:I12)</f>
        <v>632.76947280000002</v>
      </c>
    </row>
    <row r="14" spans="1:11" ht="15" thickBot="1" x14ac:dyDescent="0.25">
      <c r="A14" s="26"/>
      <c r="C14" s="54"/>
      <c r="H14" s="43"/>
      <c r="I14" s="43"/>
      <c r="K14" s="37"/>
    </row>
    <row r="15" spans="1:11" s="11" customFormat="1" ht="18" customHeight="1" x14ac:dyDescent="0.25">
      <c r="A15" s="224" t="s">
        <v>38</v>
      </c>
      <c r="B15" s="225" t="s">
        <v>122</v>
      </c>
      <c r="C15" s="456" t="s">
        <v>35</v>
      </c>
      <c r="D15" s="463" t="s">
        <v>82</v>
      </c>
      <c r="E15" s="439"/>
      <c r="F15" s="439"/>
      <c r="G15" s="439"/>
      <c r="H15" s="440"/>
      <c r="I15" s="226" t="s">
        <v>39</v>
      </c>
    </row>
    <row r="16" spans="1:11" s="11" customFormat="1" ht="15" customHeight="1" x14ac:dyDescent="0.25">
      <c r="A16" s="227" t="s">
        <v>85</v>
      </c>
      <c r="B16" s="53" t="str">
        <f>'PLANILHA OFICIAL '!B23</f>
        <v>ED-51124</v>
      </c>
      <c r="C16" s="449"/>
      <c r="D16" s="441"/>
      <c r="E16" s="442"/>
      <c r="F16" s="442"/>
      <c r="G16" s="442"/>
      <c r="H16" s="443"/>
      <c r="I16" s="228" t="s">
        <v>0</v>
      </c>
    </row>
    <row r="17" spans="1:11" s="35" customFormat="1" ht="14.25" customHeight="1" x14ac:dyDescent="0.2">
      <c r="A17" s="444" t="s">
        <v>40</v>
      </c>
      <c r="B17" s="445"/>
      <c r="C17" s="448" t="s">
        <v>41</v>
      </c>
      <c r="D17" s="450" t="s">
        <v>13</v>
      </c>
      <c r="E17" s="450" t="s">
        <v>42</v>
      </c>
      <c r="F17" s="452" t="s">
        <v>43</v>
      </c>
      <c r="G17" s="450" t="s">
        <v>44</v>
      </c>
      <c r="H17" s="452" t="s">
        <v>45</v>
      </c>
      <c r="I17" s="228" t="s">
        <v>46</v>
      </c>
    </row>
    <row r="18" spans="1:11" s="35" customFormat="1" ht="14.25" customHeight="1" x14ac:dyDescent="0.2">
      <c r="A18" s="446"/>
      <c r="B18" s="447"/>
      <c r="C18" s="449"/>
      <c r="D18" s="451"/>
      <c r="E18" s="451"/>
      <c r="F18" s="453"/>
      <c r="G18" s="451"/>
      <c r="H18" s="453"/>
      <c r="I18" s="229">
        <f>'PLANILHA OFICIAL '!G23</f>
        <v>3.5831970000000002</v>
      </c>
    </row>
    <row r="19" spans="1:11" s="36" customFormat="1" ht="15" x14ac:dyDescent="0.25">
      <c r="A19" s="454" t="s">
        <v>47</v>
      </c>
      <c r="B19" s="455"/>
      <c r="C19" s="41" t="s">
        <v>3</v>
      </c>
      <c r="D19" s="41" t="s">
        <v>3</v>
      </c>
      <c r="E19" s="41" t="s">
        <v>3</v>
      </c>
      <c r="F19" s="41" t="s">
        <v>7</v>
      </c>
      <c r="G19" s="41" t="s">
        <v>8</v>
      </c>
      <c r="H19" s="167" t="s">
        <v>48</v>
      </c>
      <c r="I19" s="230" t="s">
        <v>49</v>
      </c>
    </row>
    <row r="20" spans="1:11" s="346" customFormat="1" ht="15" x14ac:dyDescent="0.25">
      <c r="A20" s="457" t="s">
        <v>272</v>
      </c>
      <c r="B20" s="458"/>
      <c r="C20" s="280">
        <v>150</v>
      </c>
      <c r="D20" s="280">
        <v>5</v>
      </c>
      <c r="E20" s="283"/>
      <c r="F20" s="42">
        <f t="shared" ref="F20:F21" si="3">C20*D20</f>
        <v>750</v>
      </c>
      <c r="G20" s="41"/>
      <c r="H20" s="282"/>
      <c r="I20" s="231">
        <f t="shared" ref="I20:I21" si="4">$I$18*F20</f>
        <v>2687.3977500000001</v>
      </c>
    </row>
    <row r="21" spans="1:11" s="346" customFormat="1" ht="15" x14ac:dyDescent="0.25">
      <c r="A21" s="457" t="s">
        <v>273</v>
      </c>
      <c r="B21" s="458"/>
      <c r="C21" s="280">
        <v>71</v>
      </c>
      <c r="D21" s="280">
        <v>5.5</v>
      </c>
      <c r="E21" s="283"/>
      <c r="F21" s="42">
        <f t="shared" si="3"/>
        <v>390.5</v>
      </c>
      <c r="G21" s="41"/>
      <c r="H21" s="282"/>
      <c r="I21" s="231">
        <f t="shared" si="4"/>
        <v>1399.2384285000001</v>
      </c>
    </row>
    <row r="22" spans="1:11" ht="16.5" thickBot="1" x14ac:dyDescent="0.3">
      <c r="A22" s="436"/>
      <c r="B22" s="437"/>
      <c r="C22" s="234">
        <f>SUM(C20:C21)</f>
        <v>221</v>
      </c>
      <c r="D22" s="234"/>
      <c r="E22" s="234"/>
      <c r="F22" s="234">
        <f>SUM(F20:F21)</f>
        <v>1140.5</v>
      </c>
      <c r="G22" s="234"/>
      <c r="H22" s="234"/>
      <c r="I22" s="235">
        <f>SUM(I20:I21)</f>
        <v>4086.6361784999999</v>
      </c>
      <c r="J22" s="37"/>
      <c r="K22" s="37"/>
    </row>
    <row r="23" spans="1:11" ht="15" thickBot="1" x14ac:dyDescent="0.25">
      <c r="A23" s="26"/>
      <c r="C23" s="54"/>
      <c r="H23" s="43"/>
      <c r="I23" s="43"/>
      <c r="K23" s="37"/>
    </row>
    <row r="24" spans="1:11" s="11" customFormat="1" ht="32.25" customHeight="1" x14ac:dyDescent="0.25">
      <c r="A24" s="224" t="s">
        <v>38</v>
      </c>
      <c r="B24" s="225" t="s">
        <v>123</v>
      </c>
      <c r="C24" s="456" t="s">
        <v>35</v>
      </c>
      <c r="D24" s="463" t="s">
        <v>86</v>
      </c>
      <c r="E24" s="439"/>
      <c r="F24" s="439"/>
      <c r="G24" s="439"/>
      <c r="H24" s="440"/>
      <c r="I24" s="226" t="s">
        <v>39</v>
      </c>
    </row>
    <row r="25" spans="1:11" s="11" customFormat="1" ht="36.75" customHeight="1" x14ac:dyDescent="0.25">
      <c r="A25" s="227" t="s">
        <v>85</v>
      </c>
      <c r="B25" s="53" t="str">
        <f>'PLANILHA OFICIAL '!B24</f>
        <v>RO-00318</v>
      </c>
      <c r="C25" s="449"/>
      <c r="D25" s="441"/>
      <c r="E25" s="442"/>
      <c r="F25" s="442"/>
      <c r="G25" s="442"/>
      <c r="H25" s="443"/>
      <c r="I25" s="228" t="s">
        <v>2</v>
      </c>
    </row>
    <row r="26" spans="1:11" s="35" customFormat="1" ht="14.25" customHeight="1" x14ac:dyDescent="0.2">
      <c r="A26" s="444" t="s">
        <v>40</v>
      </c>
      <c r="B26" s="445"/>
      <c r="C26" s="448" t="s">
        <v>41</v>
      </c>
      <c r="D26" s="450" t="s">
        <v>13</v>
      </c>
      <c r="E26" s="450" t="s">
        <v>42</v>
      </c>
      <c r="F26" s="452" t="s">
        <v>43</v>
      </c>
      <c r="G26" s="450" t="s">
        <v>44</v>
      </c>
      <c r="H26" s="452" t="s">
        <v>45</v>
      </c>
      <c r="I26" s="228" t="s">
        <v>46</v>
      </c>
    </row>
    <row r="27" spans="1:11" s="35" customFormat="1" ht="14.25" customHeight="1" x14ac:dyDescent="0.2">
      <c r="A27" s="446"/>
      <c r="B27" s="447"/>
      <c r="C27" s="449"/>
      <c r="D27" s="451"/>
      <c r="E27" s="451"/>
      <c r="F27" s="453"/>
      <c r="G27" s="451"/>
      <c r="H27" s="453"/>
      <c r="I27" s="229">
        <f>'PLANILHA OFICIAL '!G24</f>
        <v>16.593156</v>
      </c>
    </row>
    <row r="28" spans="1:11" s="36" customFormat="1" ht="15" x14ac:dyDescent="0.25">
      <c r="A28" s="454" t="s">
        <v>47</v>
      </c>
      <c r="B28" s="455"/>
      <c r="C28" s="41" t="s">
        <v>3</v>
      </c>
      <c r="D28" s="41" t="s">
        <v>3</v>
      </c>
      <c r="E28" s="41" t="s">
        <v>3</v>
      </c>
      <c r="F28" s="41" t="s">
        <v>7</v>
      </c>
      <c r="G28" s="41" t="s">
        <v>8</v>
      </c>
      <c r="H28" s="167" t="s">
        <v>48</v>
      </c>
      <c r="I28" s="230" t="s">
        <v>49</v>
      </c>
    </row>
    <row r="29" spans="1:11" s="346" customFormat="1" ht="15" x14ac:dyDescent="0.25">
      <c r="A29" s="457" t="s">
        <v>272</v>
      </c>
      <c r="B29" s="458"/>
      <c r="C29" s="280">
        <v>150</v>
      </c>
      <c r="D29" s="280">
        <v>5</v>
      </c>
      <c r="E29" s="281">
        <v>0.15</v>
      </c>
      <c r="F29" s="42">
        <f t="shared" ref="F29" si="5">C29*D29</f>
        <v>750</v>
      </c>
      <c r="G29" s="42">
        <f t="shared" ref="G29" si="6">E29*F29</f>
        <v>112.5</v>
      </c>
      <c r="H29" s="282"/>
      <c r="I29" s="231">
        <f t="shared" ref="I29:I30" si="7">$I$27*G29</f>
        <v>1866.7300500000001</v>
      </c>
    </row>
    <row r="30" spans="1:11" s="346" customFormat="1" ht="15" x14ac:dyDescent="0.25">
      <c r="A30" s="457" t="s">
        <v>273</v>
      </c>
      <c r="B30" s="458"/>
      <c r="C30" s="280">
        <v>71</v>
      </c>
      <c r="D30" s="280">
        <v>5.5</v>
      </c>
      <c r="E30" s="281">
        <v>0.15</v>
      </c>
      <c r="F30" s="42">
        <f t="shared" ref="F30" si="8">C30*D30</f>
        <v>390.5</v>
      </c>
      <c r="G30" s="42">
        <f t="shared" ref="G30" si="9">E30*F30</f>
        <v>58.574999999999996</v>
      </c>
      <c r="H30" s="282"/>
      <c r="I30" s="231">
        <f t="shared" si="7"/>
        <v>971.94411270000001</v>
      </c>
    </row>
    <row r="31" spans="1:11" ht="16.5" thickBot="1" x14ac:dyDescent="0.3">
      <c r="A31" s="436"/>
      <c r="B31" s="437"/>
      <c r="C31" s="234">
        <f>SUM(C29:C30)</f>
        <v>221</v>
      </c>
      <c r="D31" s="234"/>
      <c r="E31" s="234"/>
      <c r="F31" s="234">
        <f>SUM(F29:F30)</f>
        <v>1140.5</v>
      </c>
      <c r="G31" s="234">
        <f>SUM(G29:G30)</f>
        <v>171.07499999999999</v>
      </c>
      <c r="H31" s="234"/>
      <c r="I31" s="235">
        <f>SUM(I29:I30)</f>
        <v>2838.6741627000001</v>
      </c>
      <c r="J31" s="37"/>
      <c r="K31" s="37"/>
    </row>
    <row r="32" spans="1:11" ht="15" thickBot="1" x14ac:dyDescent="0.25">
      <c r="A32" s="26"/>
      <c r="C32" s="54"/>
      <c r="H32" s="43"/>
      <c r="I32" s="43"/>
      <c r="K32" s="37"/>
    </row>
    <row r="33" spans="1:11" s="11" customFormat="1" ht="17.25" customHeight="1" x14ac:dyDescent="0.25">
      <c r="A33" s="224" t="s">
        <v>38</v>
      </c>
      <c r="B33" s="225" t="s">
        <v>124</v>
      </c>
      <c r="C33" s="456" t="s">
        <v>35</v>
      </c>
      <c r="D33" s="463" t="s">
        <v>186</v>
      </c>
      <c r="E33" s="439"/>
      <c r="F33" s="439"/>
      <c r="G33" s="439"/>
      <c r="H33" s="440"/>
      <c r="I33" s="226" t="s">
        <v>39</v>
      </c>
    </row>
    <row r="34" spans="1:11" s="11" customFormat="1" ht="17.25" customHeight="1" x14ac:dyDescent="0.25">
      <c r="A34" s="227" t="s">
        <v>85</v>
      </c>
      <c r="B34" s="53" t="str">
        <f>'PLANILHA OFICIAL '!B25</f>
        <v>ED-29232</v>
      </c>
      <c r="C34" s="449"/>
      <c r="D34" s="441"/>
      <c r="E34" s="442"/>
      <c r="F34" s="442"/>
      <c r="G34" s="442"/>
      <c r="H34" s="443"/>
      <c r="I34" s="228" t="s">
        <v>2</v>
      </c>
    </row>
    <row r="35" spans="1:11" s="35" customFormat="1" ht="14.25" customHeight="1" x14ac:dyDescent="0.2">
      <c r="A35" s="444" t="s">
        <v>40</v>
      </c>
      <c r="B35" s="445"/>
      <c r="C35" s="448" t="s">
        <v>41</v>
      </c>
      <c r="D35" s="450" t="s">
        <v>13</v>
      </c>
      <c r="E35" s="450" t="s">
        <v>42</v>
      </c>
      <c r="F35" s="452" t="s">
        <v>43</v>
      </c>
      <c r="G35" s="450" t="s">
        <v>44</v>
      </c>
      <c r="H35" s="452" t="s">
        <v>87</v>
      </c>
      <c r="I35" s="228" t="s">
        <v>46</v>
      </c>
    </row>
    <row r="36" spans="1:11" s="35" customFormat="1" ht="14.25" customHeight="1" x14ac:dyDescent="0.2">
      <c r="A36" s="446"/>
      <c r="B36" s="447"/>
      <c r="C36" s="449"/>
      <c r="D36" s="451"/>
      <c r="E36" s="451"/>
      <c r="F36" s="453"/>
      <c r="G36" s="451"/>
      <c r="H36" s="453"/>
      <c r="I36" s="229">
        <f>'PLANILHA OFICIAL '!G25</f>
        <v>2.530071</v>
      </c>
    </row>
    <row r="37" spans="1:11" s="36" customFormat="1" ht="15" x14ac:dyDescent="0.25">
      <c r="A37" s="454" t="s">
        <v>47</v>
      </c>
      <c r="B37" s="455"/>
      <c r="C37" s="41" t="s">
        <v>3</v>
      </c>
      <c r="D37" s="41" t="s">
        <v>3</v>
      </c>
      <c r="E37" s="41" t="s">
        <v>3</v>
      </c>
      <c r="F37" s="41" t="s">
        <v>7</v>
      </c>
      <c r="G37" s="41" t="s">
        <v>8</v>
      </c>
      <c r="H37" s="167" t="s">
        <v>37</v>
      </c>
      <c r="I37" s="230" t="s">
        <v>49</v>
      </c>
    </row>
    <row r="38" spans="1:11" s="346" customFormat="1" x14ac:dyDescent="0.2">
      <c r="A38" s="457" t="s">
        <v>272</v>
      </c>
      <c r="B38" s="458"/>
      <c r="C38" s="280">
        <v>150</v>
      </c>
      <c r="D38" s="280">
        <v>5</v>
      </c>
      <c r="E38" s="281">
        <v>0.15</v>
      </c>
      <c r="F38" s="42">
        <f t="shared" ref="F38" si="10">C38*D38</f>
        <v>750</v>
      </c>
      <c r="G38" s="42">
        <f t="shared" ref="G38" si="11">E38*F38</f>
        <v>112.5</v>
      </c>
      <c r="H38" s="168">
        <f t="shared" ref="H38" si="12">10*G38</f>
        <v>1125</v>
      </c>
      <c r="I38" s="231">
        <f t="shared" ref="I38:I39" si="13">$I$36*H38</f>
        <v>2846.3298749999999</v>
      </c>
    </row>
    <row r="39" spans="1:11" s="346" customFormat="1" x14ac:dyDescent="0.2">
      <c r="A39" s="457" t="s">
        <v>273</v>
      </c>
      <c r="B39" s="458"/>
      <c r="C39" s="280">
        <v>71</v>
      </c>
      <c r="D39" s="280">
        <v>5.5</v>
      </c>
      <c r="E39" s="281">
        <v>0.15</v>
      </c>
      <c r="F39" s="42">
        <f t="shared" ref="F39" si="14">C39*D39</f>
        <v>390.5</v>
      </c>
      <c r="G39" s="42">
        <f t="shared" ref="G39" si="15">E39*F39</f>
        <v>58.574999999999996</v>
      </c>
      <c r="H39" s="168">
        <f t="shared" ref="H39" si="16">10*G39</f>
        <v>585.75</v>
      </c>
      <c r="I39" s="231">
        <f t="shared" si="13"/>
        <v>1481.9890882499999</v>
      </c>
    </row>
    <row r="40" spans="1:11" ht="16.5" thickBot="1" x14ac:dyDescent="0.3">
      <c r="A40" s="436"/>
      <c r="B40" s="437"/>
      <c r="C40" s="234">
        <f>SUM(C38:C39)</f>
        <v>221</v>
      </c>
      <c r="D40" s="234"/>
      <c r="E40" s="234"/>
      <c r="F40" s="234">
        <f>SUM(F38:F39)</f>
        <v>1140.5</v>
      </c>
      <c r="G40" s="234">
        <f>SUM(G38:G39)</f>
        <v>171.07499999999999</v>
      </c>
      <c r="H40" s="234">
        <f>SUM(H38:H39)</f>
        <v>1710.75</v>
      </c>
      <c r="I40" s="235">
        <f>SUM(I38:I39)</f>
        <v>4328.3189632499998</v>
      </c>
      <c r="J40" s="37"/>
      <c r="K40" s="37"/>
    </row>
    <row r="41" spans="1:11" ht="16.5" thickBot="1" x14ac:dyDescent="0.3">
      <c r="A41" s="222"/>
      <c r="B41" s="222"/>
      <c r="C41" s="179"/>
      <c r="D41" s="179"/>
      <c r="E41" s="179"/>
      <c r="F41" s="179"/>
      <c r="G41" s="179"/>
      <c r="H41" s="179"/>
      <c r="I41" s="179"/>
      <c r="J41" s="37"/>
      <c r="K41" s="37"/>
    </row>
    <row r="42" spans="1:11" s="11" customFormat="1" ht="17.25" customHeight="1" x14ac:dyDescent="0.25">
      <c r="A42" s="224" t="s">
        <v>38</v>
      </c>
      <c r="B42" s="225" t="s">
        <v>185</v>
      </c>
      <c r="C42" s="438" t="str">
        <f>'PLANILHA OFICIAL '!C26</f>
        <v>CASCALHO DE CAVA</v>
      </c>
      <c r="D42" s="439"/>
      <c r="E42" s="439"/>
      <c r="F42" s="439"/>
      <c r="G42" s="464"/>
      <c r="H42" s="241"/>
      <c r="I42" s="177"/>
    </row>
    <row r="43" spans="1:11" s="11" customFormat="1" ht="15.75" customHeight="1" x14ac:dyDescent="0.25">
      <c r="A43" s="227" t="s">
        <v>305</v>
      </c>
      <c r="B43" s="53">
        <f>'PLANILHA OFICIAL '!B26</f>
        <v>4743</v>
      </c>
      <c r="C43" s="441"/>
      <c r="D43" s="442"/>
      <c r="E43" s="442"/>
      <c r="F43" s="442"/>
      <c r="G43" s="465"/>
      <c r="H43" s="241"/>
      <c r="I43" s="177"/>
    </row>
    <row r="44" spans="1:11" s="35" customFormat="1" ht="14.25" customHeight="1" x14ac:dyDescent="0.2">
      <c r="A44" s="444" t="s">
        <v>40</v>
      </c>
      <c r="B44" s="445"/>
      <c r="C44" s="448" t="s">
        <v>41</v>
      </c>
      <c r="D44" s="450" t="s">
        <v>13</v>
      </c>
      <c r="E44" s="450" t="s">
        <v>42</v>
      </c>
      <c r="F44" s="452" t="s">
        <v>43</v>
      </c>
      <c r="G44" s="461" t="s">
        <v>44</v>
      </c>
      <c r="H44" s="466"/>
      <c r="I44" s="177"/>
    </row>
    <row r="45" spans="1:11" s="35" customFormat="1" ht="14.25" customHeight="1" x14ac:dyDescent="0.2">
      <c r="A45" s="446"/>
      <c r="B45" s="447"/>
      <c r="C45" s="449"/>
      <c r="D45" s="451"/>
      <c r="E45" s="451"/>
      <c r="F45" s="453"/>
      <c r="G45" s="462"/>
      <c r="H45" s="466"/>
      <c r="I45" s="178"/>
    </row>
    <row r="46" spans="1:11" s="36" customFormat="1" ht="15" x14ac:dyDescent="0.25">
      <c r="A46" s="454" t="s">
        <v>47</v>
      </c>
      <c r="B46" s="455"/>
      <c r="C46" s="41" t="s">
        <v>3</v>
      </c>
      <c r="D46" s="41" t="s">
        <v>3</v>
      </c>
      <c r="E46" s="41" t="s">
        <v>3</v>
      </c>
      <c r="F46" s="41" t="s">
        <v>7</v>
      </c>
      <c r="G46" s="232" t="s">
        <v>8</v>
      </c>
      <c r="H46" s="242"/>
      <c r="I46" s="179"/>
    </row>
    <row r="47" spans="1:11" s="346" customFormat="1" ht="15" x14ac:dyDescent="0.25">
      <c r="A47" s="457" t="s">
        <v>272</v>
      </c>
      <c r="B47" s="458"/>
      <c r="C47" s="280">
        <v>150</v>
      </c>
      <c r="D47" s="280">
        <v>5</v>
      </c>
      <c r="E47" s="281">
        <v>0.15</v>
      </c>
      <c r="F47" s="42">
        <f t="shared" ref="F47" si="17">C47*D47</f>
        <v>750</v>
      </c>
      <c r="G47" s="231">
        <f t="shared" ref="G47" si="18">E47*F47</f>
        <v>112.5</v>
      </c>
      <c r="H47" s="242"/>
      <c r="I47" s="179"/>
    </row>
    <row r="48" spans="1:11" s="346" customFormat="1" ht="15" x14ac:dyDescent="0.25">
      <c r="A48" s="457" t="s">
        <v>273</v>
      </c>
      <c r="B48" s="458"/>
      <c r="C48" s="280">
        <v>71</v>
      </c>
      <c r="D48" s="280">
        <v>5.5</v>
      </c>
      <c r="E48" s="281">
        <v>0.15</v>
      </c>
      <c r="F48" s="42">
        <f t="shared" ref="F48" si="19">C48*D48</f>
        <v>390.5</v>
      </c>
      <c r="G48" s="231">
        <f t="shared" ref="G48" si="20">E48*F48</f>
        <v>58.574999999999996</v>
      </c>
      <c r="H48" s="242"/>
      <c r="I48" s="179"/>
    </row>
    <row r="49" spans="1:11" ht="13.5" customHeight="1" thickBot="1" x14ac:dyDescent="0.3">
      <c r="A49" s="436"/>
      <c r="B49" s="437"/>
      <c r="C49" s="234">
        <f>SUM(C47:C48)</f>
        <v>221</v>
      </c>
      <c r="D49" s="234"/>
      <c r="E49" s="234"/>
      <c r="F49" s="234">
        <f>SUM(F47:F48)</f>
        <v>1140.5</v>
      </c>
      <c r="G49" s="235">
        <f>SUM(G47:G48)</f>
        <v>171.07499999999999</v>
      </c>
      <c r="H49" s="179"/>
      <c r="I49" s="179"/>
      <c r="J49" s="37"/>
      <c r="K49" s="37"/>
    </row>
    <row r="50" spans="1:11" ht="8.25" customHeight="1" thickBot="1" x14ac:dyDescent="0.25">
      <c r="A50" s="26"/>
      <c r="C50" s="54"/>
      <c r="H50" s="43"/>
      <c r="I50" s="43"/>
      <c r="K50" s="37"/>
    </row>
    <row r="51" spans="1:11" s="11" customFormat="1" ht="29.25" customHeight="1" x14ac:dyDescent="0.25">
      <c r="A51" s="224" t="s">
        <v>38</v>
      </c>
      <c r="B51" s="225" t="s">
        <v>10</v>
      </c>
      <c r="C51" s="456" t="s">
        <v>35</v>
      </c>
      <c r="D51" s="463" t="s">
        <v>74</v>
      </c>
      <c r="E51" s="439"/>
      <c r="F51" s="439"/>
      <c r="G51" s="439"/>
      <c r="H51" s="440"/>
      <c r="I51" s="226" t="s">
        <v>39</v>
      </c>
    </row>
    <row r="52" spans="1:11" s="11" customFormat="1" ht="29.25" customHeight="1" x14ac:dyDescent="0.25">
      <c r="A52" s="227" t="s">
        <v>85</v>
      </c>
      <c r="B52" s="53" t="str">
        <f>'PLANILHA OFICIAL '!B29</f>
        <v>RO-51228</v>
      </c>
      <c r="C52" s="449"/>
      <c r="D52" s="441"/>
      <c r="E52" s="442"/>
      <c r="F52" s="442"/>
      <c r="G52" s="442"/>
      <c r="H52" s="443"/>
      <c r="I52" s="228" t="s">
        <v>0</v>
      </c>
    </row>
    <row r="53" spans="1:11" s="35" customFormat="1" ht="14.25" customHeight="1" x14ac:dyDescent="0.2">
      <c r="A53" s="444" t="s">
        <v>40</v>
      </c>
      <c r="B53" s="445"/>
      <c r="C53" s="448" t="s">
        <v>41</v>
      </c>
      <c r="D53" s="450" t="s">
        <v>13</v>
      </c>
      <c r="E53" s="450" t="s">
        <v>42</v>
      </c>
      <c r="F53" s="452" t="s">
        <v>43</v>
      </c>
      <c r="G53" s="450" t="s">
        <v>44</v>
      </c>
      <c r="H53" s="452" t="s">
        <v>87</v>
      </c>
      <c r="I53" s="228" t="s">
        <v>46</v>
      </c>
    </row>
    <row r="54" spans="1:11" s="35" customFormat="1" ht="14.25" customHeight="1" x14ac:dyDescent="0.2">
      <c r="A54" s="446"/>
      <c r="B54" s="447"/>
      <c r="C54" s="449"/>
      <c r="D54" s="451"/>
      <c r="E54" s="451"/>
      <c r="F54" s="453"/>
      <c r="G54" s="451"/>
      <c r="H54" s="453"/>
      <c r="I54" s="229">
        <f>'PLANILHA OFICIAL '!G29</f>
        <v>4.5335789999999996</v>
      </c>
    </row>
    <row r="55" spans="1:11" s="36" customFormat="1" ht="15" x14ac:dyDescent="0.25">
      <c r="A55" s="454" t="s">
        <v>47</v>
      </c>
      <c r="B55" s="455"/>
      <c r="C55" s="41" t="s">
        <v>3</v>
      </c>
      <c r="D55" s="41" t="s">
        <v>3</v>
      </c>
      <c r="E55" s="41" t="s">
        <v>3</v>
      </c>
      <c r="F55" s="41" t="s">
        <v>7</v>
      </c>
      <c r="G55" s="41" t="s">
        <v>8</v>
      </c>
      <c r="H55" s="167" t="s">
        <v>37</v>
      </c>
      <c r="I55" s="230" t="s">
        <v>49</v>
      </c>
    </row>
    <row r="56" spans="1:11" s="346" customFormat="1" ht="15" x14ac:dyDescent="0.25">
      <c r="A56" s="457" t="s">
        <v>272</v>
      </c>
      <c r="B56" s="458"/>
      <c r="C56" s="280">
        <v>150</v>
      </c>
      <c r="D56" s="280">
        <v>4.0999999999999996</v>
      </c>
      <c r="E56" s="283"/>
      <c r="F56" s="42">
        <f>C56*D56</f>
        <v>615</v>
      </c>
      <c r="G56" s="283"/>
      <c r="H56" s="282"/>
      <c r="I56" s="231">
        <f>$I$54*F56</f>
        <v>2788.151085</v>
      </c>
    </row>
    <row r="57" spans="1:11" s="346" customFormat="1" ht="15" x14ac:dyDescent="0.25">
      <c r="A57" s="457" t="s">
        <v>273</v>
      </c>
      <c r="B57" s="458"/>
      <c r="C57" s="280">
        <v>71</v>
      </c>
      <c r="D57" s="280">
        <v>4.5999999999999996</v>
      </c>
      <c r="E57" s="283"/>
      <c r="F57" s="42">
        <f>C57*D57</f>
        <v>326.59999999999997</v>
      </c>
      <c r="G57" s="283"/>
      <c r="H57" s="282"/>
      <c r="I57" s="231">
        <f>$I$54*F57</f>
        <v>1480.6669013999997</v>
      </c>
    </row>
    <row r="58" spans="1:11" ht="16.5" thickBot="1" x14ac:dyDescent="0.3">
      <c r="A58" s="436"/>
      <c r="B58" s="437"/>
      <c r="C58" s="234">
        <f>SUM(C56:C57)</f>
        <v>221</v>
      </c>
      <c r="D58" s="234"/>
      <c r="E58" s="234"/>
      <c r="F58" s="234">
        <f>SUM(F56:F57)</f>
        <v>941.59999999999991</v>
      </c>
      <c r="G58" s="234"/>
      <c r="H58" s="234"/>
      <c r="I58" s="235">
        <f>SUM(I56:I57)</f>
        <v>4268.8179863999994</v>
      </c>
      <c r="J58" s="37"/>
      <c r="K58" s="37"/>
    </row>
    <row r="59" spans="1:11" ht="16.5" customHeight="1" thickBot="1" x14ac:dyDescent="0.25">
      <c r="A59" s="26"/>
      <c r="C59" s="54"/>
      <c r="H59" s="43"/>
      <c r="I59" s="43"/>
      <c r="K59" s="37"/>
    </row>
    <row r="60" spans="1:11" s="11" customFormat="1" ht="15.75" customHeight="1" x14ac:dyDescent="0.25">
      <c r="A60" s="224" t="s">
        <v>38</v>
      </c>
      <c r="B60" s="225" t="s">
        <v>11</v>
      </c>
      <c r="C60" s="456" t="s">
        <v>35</v>
      </c>
      <c r="D60" s="463" t="s">
        <v>267</v>
      </c>
      <c r="E60" s="439"/>
      <c r="F60" s="439"/>
      <c r="G60" s="439"/>
      <c r="H60" s="440"/>
      <c r="I60" s="226" t="s">
        <v>39</v>
      </c>
    </row>
    <row r="61" spans="1:11" s="11" customFormat="1" ht="15.75" customHeight="1" x14ac:dyDescent="0.25">
      <c r="A61" s="227" t="s">
        <v>85</v>
      </c>
      <c r="B61" s="53" t="e">
        <f>'PLANILHA OFICIAL '!#REF!</f>
        <v>#REF!</v>
      </c>
      <c r="C61" s="449"/>
      <c r="D61" s="441"/>
      <c r="E61" s="442"/>
      <c r="F61" s="442"/>
      <c r="G61" s="442"/>
      <c r="H61" s="443"/>
      <c r="I61" s="228" t="s">
        <v>88</v>
      </c>
    </row>
    <row r="62" spans="1:11" s="35" customFormat="1" ht="14.25" customHeight="1" x14ac:dyDescent="0.2">
      <c r="A62" s="444" t="s">
        <v>40</v>
      </c>
      <c r="B62" s="445"/>
      <c r="C62" s="448" t="s">
        <v>41</v>
      </c>
      <c r="D62" s="450" t="s">
        <v>13</v>
      </c>
      <c r="E62" s="450" t="s">
        <v>50</v>
      </c>
      <c r="F62" s="452" t="s">
        <v>43</v>
      </c>
      <c r="G62" s="450" t="s">
        <v>44</v>
      </c>
      <c r="H62" s="452" t="s">
        <v>87</v>
      </c>
      <c r="I62" s="228" t="s">
        <v>46</v>
      </c>
    </row>
    <row r="63" spans="1:11" s="35" customFormat="1" ht="14.25" customHeight="1" x14ac:dyDescent="0.2">
      <c r="A63" s="446"/>
      <c r="B63" s="447"/>
      <c r="C63" s="449"/>
      <c r="D63" s="451"/>
      <c r="E63" s="451"/>
      <c r="F63" s="453"/>
      <c r="G63" s="451"/>
      <c r="H63" s="453"/>
      <c r="I63" s="229">
        <f>'PLANILHA OFICIAL '!G30</f>
        <v>2.0163510000000002</v>
      </c>
    </row>
    <row r="64" spans="1:11" s="36" customFormat="1" ht="15" x14ac:dyDescent="0.25">
      <c r="A64" s="454" t="s">
        <v>47</v>
      </c>
      <c r="B64" s="455"/>
      <c r="C64" s="41" t="s">
        <v>3</v>
      </c>
      <c r="D64" s="41" t="s">
        <v>3</v>
      </c>
      <c r="E64" s="41" t="s">
        <v>90</v>
      </c>
      <c r="F64" s="41" t="s">
        <v>7</v>
      </c>
      <c r="G64" s="41" t="s">
        <v>8</v>
      </c>
      <c r="H64" s="167" t="s">
        <v>89</v>
      </c>
      <c r="I64" s="230" t="s">
        <v>49</v>
      </c>
    </row>
    <row r="65" spans="1:11" s="346" customFormat="1" x14ac:dyDescent="0.2">
      <c r="A65" s="457" t="s">
        <v>272</v>
      </c>
      <c r="B65" s="458"/>
      <c r="C65" s="280">
        <v>150</v>
      </c>
      <c r="D65" s="280">
        <v>4.0999999999999996</v>
      </c>
      <c r="E65" s="42">
        <v>1.2</v>
      </c>
      <c r="F65" s="42">
        <f t="shared" ref="F65" si="21">C65*D65</f>
        <v>615</v>
      </c>
      <c r="G65" s="42">
        <f t="shared" ref="G65" si="22">F65*E65/1000</f>
        <v>0.73799999999999999</v>
      </c>
      <c r="H65" s="168">
        <f>G65*778</f>
        <v>574.16399999999999</v>
      </c>
      <c r="I65" s="231">
        <f t="shared" ref="I65:I66" si="23">$I$63*H65</f>
        <v>1157.716155564</v>
      </c>
    </row>
    <row r="66" spans="1:11" s="346" customFormat="1" x14ac:dyDescent="0.2">
      <c r="A66" s="457" t="s">
        <v>273</v>
      </c>
      <c r="B66" s="458"/>
      <c r="C66" s="280">
        <v>71</v>
      </c>
      <c r="D66" s="280">
        <v>4.5999999999999996</v>
      </c>
      <c r="E66" s="42">
        <v>1.2</v>
      </c>
      <c r="F66" s="42">
        <f t="shared" ref="F66" si="24">C66*D66</f>
        <v>326.59999999999997</v>
      </c>
      <c r="G66" s="42">
        <f t="shared" ref="G66" si="25">F66*E66/1000</f>
        <v>0.39191999999999994</v>
      </c>
      <c r="H66" s="168">
        <f>G66*778</f>
        <v>304.91375999999997</v>
      </c>
      <c r="I66" s="231">
        <f t="shared" si="23"/>
        <v>614.81316488976006</v>
      </c>
    </row>
    <row r="67" spans="1:11" ht="16.5" thickBot="1" x14ac:dyDescent="0.3">
      <c r="A67" s="436"/>
      <c r="B67" s="437"/>
      <c r="C67" s="234">
        <f>SUM(C65:C66)</f>
        <v>221</v>
      </c>
      <c r="D67" s="234"/>
      <c r="E67" s="234"/>
      <c r="F67" s="234">
        <f>SUM(F65:F66)</f>
        <v>941.59999999999991</v>
      </c>
      <c r="G67" s="234">
        <f>SUM(G65:G66)</f>
        <v>1.1299199999999998</v>
      </c>
      <c r="H67" s="234">
        <f>SUM(H65:H66)</f>
        <v>879.0777599999999</v>
      </c>
      <c r="I67" s="235">
        <f>SUM(I65:I66)</f>
        <v>1772.5293204537602</v>
      </c>
      <c r="J67" s="37"/>
      <c r="K67" s="37"/>
    </row>
    <row r="68" spans="1:11" ht="15" thickBot="1" x14ac:dyDescent="0.25">
      <c r="A68" s="26"/>
      <c r="C68" s="54"/>
      <c r="H68" s="43"/>
      <c r="I68" s="43"/>
      <c r="K68" s="37"/>
    </row>
    <row r="69" spans="1:11" s="11" customFormat="1" ht="29.25" customHeight="1" x14ac:dyDescent="0.25">
      <c r="A69" s="224" t="s">
        <v>38</v>
      </c>
      <c r="B69" s="225" t="s">
        <v>189</v>
      </c>
      <c r="C69" s="456" t="s">
        <v>35</v>
      </c>
      <c r="D69" s="463" t="s">
        <v>75</v>
      </c>
      <c r="E69" s="439"/>
      <c r="F69" s="439"/>
      <c r="G69" s="439"/>
      <c r="H69" s="440"/>
      <c r="I69" s="226" t="s">
        <v>39</v>
      </c>
    </row>
    <row r="70" spans="1:11" s="11" customFormat="1" ht="29.25" customHeight="1" x14ac:dyDescent="0.25">
      <c r="A70" s="227" t="s">
        <v>85</v>
      </c>
      <c r="B70" s="53" t="str">
        <f>'PLANILHA OFICIAL '!B31</f>
        <v>RO-51229</v>
      </c>
      <c r="C70" s="449"/>
      <c r="D70" s="441"/>
      <c r="E70" s="442"/>
      <c r="F70" s="442"/>
      <c r="G70" s="442"/>
      <c r="H70" s="443"/>
      <c r="I70" s="228" t="s">
        <v>0</v>
      </c>
    </row>
    <row r="71" spans="1:11" s="35" customFormat="1" ht="14.25" customHeight="1" x14ac:dyDescent="0.2">
      <c r="A71" s="444" t="s">
        <v>40</v>
      </c>
      <c r="B71" s="445"/>
      <c r="C71" s="448" t="s">
        <v>41</v>
      </c>
      <c r="D71" s="450" t="s">
        <v>13</v>
      </c>
      <c r="E71" s="450" t="s">
        <v>42</v>
      </c>
      <c r="F71" s="452" t="s">
        <v>43</v>
      </c>
      <c r="G71" s="450" t="s">
        <v>44</v>
      </c>
      <c r="H71" s="452" t="s">
        <v>87</v>
      </c>
      <c r="I71" s="228" t="s">
        <v>46</v>
      </c>
    </row>
    <row r="72" spans="1:11" s="35" customFormat="1" ht="14.25" customHeight="1" x14ac:dyDescent="0.2">
      <c r="A72" s="446"/>
      <c r="B72" s="447"/>
      <c r="C72" s="449"/>
      <c r="D72" s="451"/>
      <c r="E72" s="451"/>
      <c r="F72" s="453"/>
      <c r="G72" s="451"/>
      <c r="H72" s="453"/>
      <c r="I72" s="229">
        <f>'PLANILHA OFICIAL '!G31</f>
        <v>2.4016410000000001</v>
      </c>
    </row>
    <row r="73" spans="1:11" s="36" customFormat="1" ht="15" x14ac:dyDescent="0.25">
      <c r="A73" s="454" t="s">
        <v>47</v>
      </c>
      <c r="B73" s="455"/>
      <c r="C73" s="41" t="s">
        <v>3</v>
      </c>
      <c r="D73" s="41" t="s">
        <v>3</v>
      </c>
      <c r="E73" s="41" t="s">
        <v>3</v>
      </c>
      <c r="F73" s="41" t="s">
        <v>7</v>
      </c>
      <c r="G73" s="41" t="s">
        <v>8</v>
      </c>
      <c r="H73" s="167" t="s">
        <v>37</v>
      </c>
      <c r="I73" s="230" t="s">
        <v>49</v>
      </c>
    </row>
    <row r="74" spans="1:11" s="346" customFormat="1" ht="15" x14ac:dyDescent="0.25">
      <c r="A74" s="457" t="s">
        <v>272</v>
      </c>
      <c r="B74" s="458"/>
      <c r="C74" s="280">
        <v>150</v>
      </c>
      <c r="D74" s="280">
        <v>4.0999999999999996</v>
      </c>
      <c r="E74" s="283"/>
      <c r="F74" s="42">
        <f t="shared" ref="F74:F75" si="26">C74*D74</f>
        <v>615</v>
      </c>
      <c r="G74" s="283"/>
      <c r="H74" s="282"/>
      <c r="I74" s="231">
        <f t="shared" ref="I74:I75" si="27">$I$72*F74</f>
        <v>1477.009215</v>
      </c>
    </row>
    <row r="75" spans="1:11" s="346" customFormat="1" ht="15" x14ac:dyDescent="0.25">
      <c r="A75" s="457" t="s">
        <v>273</v>
      </c>
      <c r="B75" s="458"/>
      <c r="C75" s="280">
        <v>71</v>
      </c>
      <c r="D75" s="280">
        <v>4.5999999999999996</v>
      </c>
      <c r="E75" s="283"/>
      <c r="F75" s="42">
        <f t="shared" si="26"/>
        <v>326.59999999999997</v>
      </c>
      <c r="G75" s="283"/>
      <c r="H75" s="282"/>
      <c r="I75" s="231">
        <f t="shared" si="27"/>
        <v>784.37595060000001</v>
      </c>
    </row>
    <row r="76" spans="1:11" ht="16.5" thickBot="1" x14ac:dyDescent="0.3">
      <c r="A76" s="436"/>
      <c r="B76" s="437"/>
      <c r="C76" s="234">
        <f>SUM(C74:C75)</f>
        <v>221</v>
      </c>
      <c r="D76" s="234"/>
      <c r="E76" s="234"/>
      <c r="F76" s="234">
        <f>SUM(F74:F75)</f>
        <v>941.59999999999991</v>
      </c>
      <c r="G76" s="234"/>
      <c r="H76" s="234"/>
      <c r="I76" s="235">
        <f>SUM(I74:I75)</f>
        <v>2261.3851656000002</v>
      </c>
      <c r="J76" s="37"/>
      <c r="K76" s="37"/>
    </row>
    <row r="77" spans="1:11" ht="15" thickBot="1" x14ac:dyDescent="0.25">
      <c r="A77" s="26"/>
      <c r="C77" s="54"/>
      <c r="H77" s="43"/>
      <c r="I77" s="43"/>
      <c r="K77" s="37"/>
    </row>
    <row r="78" spans="1:11" s="11" customFormat="1" ht="15.75" customHeight="1" x14ac:dyDescent="0.25">
      <c r="A78" s="224" t="s">
        <v>38</v>
      </c>
      <c r="B78" s="225" t="s">
        <v>190</v>
      </c>
      <c r="C78" s="456" t="s">
        <v>35</v>
      </c>
      <c r="D78" s="463" t="s">
        <v>134</v>
      </c>
      <c r="E78" s="439"/>
      <c r="F78" s="439"/>
      <c r="G78" s="439"/>
      <c r="H78" s="440"/>
      <c r="I78" s="226" t="s">
        <v>39</v>
      </c>
    </row>
    <row r="79" spans="1:11" s="11" customFormat="1" ht="15.75" customHeight="1" x14ac:dyDescent="0.25">
      <c r="A79" s="227" t="s">
        <v>85</v>
      </c>
      <c r="B79" s="53" t="str">
        <f>'PLANILHA OFICIAL '!B30</f>
        <v>ED-29235</v>
      </c>
      <c r="C79" s="449"/>
      <c r="D79" s="441"/>
      <c r="E79" s="442"/>
      <c r="F79" s="442"/>
      <c r="G79" s="442"/>
      <c r="H79" s="443"/>
      <c r="I79" s="228" t="s">
        <v>88</v>
      </c>
    </row>
    <row r="80" spans="1:11" s="35" customFormat="1" ht="14.25" customHeight="1" x14ac:dyDescent="0.2">
      <c r="A80" s="444" t="s">
        <v>40</v>
      </c>
      <c r="B80" s="445"/>
      <c r="C80" s="448" t="s">
        <v>41</v>
      </c>
      <c r="D80" s="450" t="s">
        <v>13</v>
      </c>
      <c r="E80" s="450" t="s">
        <v>50</v>
      </c>
      <c r="F80" s="452" t="s">
        <v>43</v>
      </c>
      <c r="G80" s="450" t="s">
        <v>44</v>
      </c>
      <c r="H80" s="452" t="s">
        <v>87</v>
      </c>
      <c r="I80" s="228" t="s">
        <v>46</v>
      </c>
    </row>
    <row r="81" spans="1:11" s="35" customFormat="1" ht="14.25" customHeight="1" x14ac:dyDescent="0.2">
      <c r="A81" s="446"/>
      <c r="B81" s="447"/>
      <c r="C81" s="449"/>
      <c r="D81" s="451"/>
      <c r="E81" s="451"/>
      <c r="F81" s="453"/>
      <c r="G81" s="451"/>
      <c r="H81" s="453"/>
      <c r="I81" s="229">
        <f>'PLANILHA OFICIAL '!G32</f>
        <v>2.0163510000000002</v>
      </c>
    </row>
    <row r="82" spans="1:11" s="36" customFormat="1" ht="15" x14ac:dyDescent="0.25">
      <c r="A82" s="454" t="s">
        <v>47</v>
      </c>
      <c r="B82" s="455"/>
      <c r="C82" s="41" t="s">
        <v>3</v>
      </c>
      <c r="D82" s="41" t="s">
        <v>3</v>
      </c>
      <c r="E82" s="41" t="s">
        <v>90</v>
      </c>
      <c r="F82" s="41" t="s">
        <v>7</v>
      </c>
      <c r="G82" s="41" t="s">
        <v>8</v>
      </c>
      <c r="H82" s="167" t="s">
        <v>89</v>
      </c>
      <c r="I82" s="230" t="s">
        <v>49</v>
      </c>
    </row>
    <row r="83" spans="1:11" s="346" customFormat="1" x14ac:dyDescent="0.2">
      <c r="A83" s="457" t="s">
        <v>272</v>
      </c>
      <c r="B83" s="458"/>
      <c r="C83" s="280">
        <v>150</v>
      </c>
      <c r="D83" s="280">
        <v>4.0999999999999996</v>
      </c>
      <c r="E83" s="281">
        <v>0.5</v>
      </c>
      <c r="F83" s="42">
        <f t="shared" ref="F83" si="28">C83*D83</f>
        <v>615</v>
      </c>
      <c r="G83" s="42">
        <f t="shared" ref="G83" si="29">F83*E83/1000</f>
        <v>0.3075</v>
      </c>
      <c r="H83" s="168">
        <f>G83*778</f>
        <v>239.23499999999999</v>
      </c>
      <c r="I83" s="231">
        <f t="shared" ref="I83:I84" si="30">$I$81*H83</f>
        <v>482.38173148500005</v>
      </c>
    </row>
    <row r="84" spans="1:11" s="346" customFormat="1" x14ac:dyDescent="0.2">
      <c r="A84" s="457" t="s">
        <v>273</v>
      </c>
      <c r="B84" s="458"/>
      <c r="C84" s="280">
        <v>71</v>
      </c>
      <c r="D84" s="280">
        <v>4.5999999999999996</v>
      </c>
      <c r="E84" s="281">
        <v>0.5</v>
      </c>
      <c r="F84" s="42">
        <f t="shared" ref="F84" si="31">C84*D84</f>
        <v>326.59999999999997</v>
      </c>
      <c r="G84" s="42">
        <f t="shared" ref="G84" si="32">F84*E84/1000</f>
        <v>0.16329999999999997</v>
      </c>
      <c r="H84" s="168">
        <f>G84*778</f>
        <v>127.04739999999998</v>
      </c>
      <c r="I84" s="231">
        <f t="shared" si="30"/>
        <v>256.1721520374</v>
      </c>
    </row>
    <row r="85" spans="1:11" ht="16.5" thickBot="1" x14ac:dyDescent="0.3">
      <c r="A85" s="436"/>
      <c r="B85" s="437"/>
      <c r="C85" s="234">
        <f>SUM(C83:C84)</f>
        <v>221</v>
      </c>
      <c r="D85" s="234"/>
      <c r="E85" s="234"/>
      <c r="F85" s="234">
        <f>SUM(F83:F84)</f>
        <v>941.59999999999991</v>
      </c>
      <c r="G85" s="234">
        <f>SUM(G83:G84)</f>
        <v>0.4708</v>
      </c>
      <c r="H85" s="234">
        <f>SUM(H83:H84)</f>
        <v>366.28239999999994</v>
      </c>
      <c r="I85" s="235">
        <f>SUM(I83:I84)</f>
        <v>738.55388352240004</v>
      </c>
      <c r="J85" s="37"/>
      <c r="K85" s="37"/>
    </row>
    <row r="86" spans="1:11" ht="15" thickBot="1" x14ac:dyDescent="0.25">
      <c r="A86" s="26"/>
      <c r="C86" s="54"/>
      <c r="H86" s="43"/>
      <c r="I86" s="43"/>
      <c r="K86" s="37"/>
    </row>
    <row r="87" spans="1:11" s="11" customFormat="1" ht="35.25" customHeight="1" x14ac:dyDescent="0.25">
      <c r="A87" s="224" t="s">
        <v>38</v>
      </c>
      <c r="B87" s="225" t="s">
        <v>191</v>
      </c>
      <c r="C87" s="456" t="s">
        <v>35</v>
      </c>
      <c r="D87" s="438" t="s">
        <v>171</v>
      </c>
      <c r="E87" s="439"/>
      <c r="F87" s="439"/>
      <c r="G87" s="439"/>
      <c r="H87" s="440"/>
      <c r="I87" s="226" t="s">
        <v>39</v>
      </c>
    </row>
    <row r="88" spans="1:11" s="11" customFormat="1" ht="35.25" customHeight="1" x14ac:dyDescent="0.25">
      <c r="A88" s="227" t="s">
        <v>85</v>
      </c>
      <c r="B88" s="53" t="str">
        <f>'PLANILHA OFICIAL '!B33</f>
        <v>RO-14021</v>
      </c>
      <c r="C88" s="449"/>
      <c r="D88" s="441"/>
      <c r="E88" s="442"/>
      <c r="F88" s="442"/>
      <c r="G88" s="442"/>
      <c r="H88" s="443"/>
      <c r="I88" s="228" t="s">
        <v>2</v>
      </c>
    </row>
    <row r="89" spans="1:11" s="35" customFormat="1" ht="14.25" customHeight="1" x14ac:dyDescent="0.2">
      <c r="A89" s="444" t="s">
        <v>40</v>
      </c>
      <c r="B89" s="445"/>
      <c r="C89" s="448" t="s">
        <v>41</v>
      </c>
      <c r="D89" s="450" t="s">
        <v>13</v>
      </c>
      <c r="E89" s="450" t="s">
        <v>42</v>
      </c>
      <c r="F89" s="452" t="s">
        <v>43</v>
      </c>
      <c r="G89" s="450" t="s">
        <v>44</v>
      </c>
      <c r="H89" s="452" t="s">
        <v>51</v>
      </c>
      <c r="I89" s="228" t="s">
        <v>46</v>
      </c>
    </row>
    <row r="90" spans="1:11" s="35" customFormat="1" ht="14.25" customHeight="1" x14ac:dyDescent="0.2">
      <c r="A90" s="446"/>
      <c r="B90" s="447"/>
      <c r="C90" s="449"/>
      <c r="D90" s="451"/>
      <c r="E90" s="451"/>
      <c r="F90" s="453"/>
      <c r="G90" s="451"/>
      <c r="H90" s="453"/>
      <c r="I90" s="229">
        <f>'PLANILHA OFICIAL '!G33</f>
        <v>951.80757300000005</v>
      </c>
    </row>
    <row r="91" spans="1:11" s="36" customFormat="1" ht="15" x14ac:dyDescent="0.25">
      <c r="A91" s="454" t="s">
        <v>47</v>
      </c>
      <c r="B91" s="455"/>
      <c r="C91" s="41" t="s">
        <v>3</v>
      </c>
      <c r="D91" s="41" t="s">
        <v>3</v>
      </c>
      <c r="E91" s="41" t="s">
        <v>3</v>
      </c>
      <c r="F91" s="41" t="s">
        <v>7</v>
      </c>
      <c r="G91" s="41" t="s">
        <v>8</v>
      </c>
      <c r="H91" s="167" t="s">
        <v>21</v>
      </c>
      <c r="I91" s="230" t="s">
        <v>49</v>
      </c>
    </row>
    <row r="92" spans="1:11" s="346" customFormat="1" x14ac:dyDescent="0.2">
      <c r="A92" s="457" t="s">
        <v>272</v>
      </c>
      <c r="B92" s="458"/>
      <c r="C92" s="280">
        <v>150</v>
      </c>
      <c r="D92" s="280">
        <v>4.0999999999999996</v>
      </c>
      <c r="E92" s="284">
        <v>3.5000000000000003E-2</v>
      </c>
      <c r="F92" s="42">
        <f t="shared" ref="F92" si="33">C92*D92</f>
        <v>615</v>
      </c>
      <c r="G92" s="42">
        <f t="shared" ref="G92" si="34">E92*F92</f>
        <v>21.525000000000002</v>
      </c>
      <c r="H92" s="168">
        <f t="shared" ref="H92" si="35">2.3*G92</f>
        <v>49.5075</v>
      </c>
      <c r="I92" s="231">
        <f t="shared" ref="I92:I93" si="36">$I$90*G92</f>
        <v>20487.658008825005</v>
      </c>
    </row>
    <row r="93" spans="1:11" s="346" customFormat="1" x14ac:dyDescent="0.2">
      <c r="A93" s="457" t="s">
        <v>273</v>
      </c>
      <c r="B93" s="458"/>
      <c r="C93" s="280">
        <v>71</v>
      </c>
      <c r="D93" s="280">
        <v>4.5999999999999996</v>
      </c>
      <c r="E93" s="284">
        <v>3.5000000000000003E-2</v>
      </c>
      <c r="F93" s="42">
        <f t="shared" ref="F93" si="37">C93*D93</f>
        <v>326.59999999999997</v>
      </c>
      <c r="G93" s="42">
        <f t="shared" ref="G93" si="38">E93*F93</f>
        <v>11.430999999999999</v>
      </c>
      <c r="H93" s="168">
        <f t="shared" ref="H93" si="39">2.3*G93</f>
        <v>26.291299999999996</v>
      </c>
      <c r="I93" s="231">
        <f t="shared" si="36"/>
        <v>10880.112366963</v>
      </c>
    </row>
    <row r="94" spans="1:11" ht="16.5" thickBot="1" x14ac:dyDescent="0.3">
      <c r="A94" s="436"/>
      <c r="B94" s="437"/>
      <c r="C94" s="234">
        <f>SUM(C92:C93)</f>
        <v>221</v>
      </c>
      <c r="D94" s="234"/>
      <c r="E94" s="234"/>
      <c r="F94" s="234">
        <f>SUM(F92:F93)</f>
        <v>941.59999999999991</v>
      </c>
      <c r="G94" s="234">
        <f>SUM(G92:G93)</f>
        <v>32.956000000000003</v>
      </c>
      <c r="H94" s="234">
        <f>SUM(H92:H93)</f>
        <v>75.7988</v>
      </c>
      <c r="I94" s="235">
        <f>SUM(I92:I93)</f>
        <v>31367.770375788004</v>
      </c>
      <c r="J94" s="37"/>
      <c r="K94" s="37"/>
    </row>
    <row r="95" spans="1:11" ht="15" thickBot="1" x14ac:dyDescent="0.25">
      <c r="A95" s="26"/>
      <c r="C95" s="54"/>
      <c r="H95" s="43"/>
      <c r="I95" s="43"/>
      <c r="K95" s="37"/>
    </row>
    <row r="96" spans="1:11" s="11" customFormat="1" ht="15.75" x14ac:dyDescent="0.25">
      <c r="A96" s="224" t="s">
        <v>38</v>
      </c>
      <c r="B96" s="225" t="s">
        <v>192</v>
      </c>
      <c r="C96" s="456" t="s">
        <v>35</v>
      </c>
      <c r="D96" s="467" t="s">
        <v>202</v>
      </c>
      <c r="E96" s="468"/>
      <c r="F96" s="468"/>
      <c r="G96" s="468"/>
      <c r="H96" s="469"/>
      <c r="I96" s="226" t="s">
        <v>39</v>
      </c>
      <c r="K96" s="37"/>
    </row>
    <row r="97" spans="1:11" s="11" customFormat="1" ht="15.75" x14ac:dyDescent="0.25">
      <c r="A97" s="227" t="s">
        <v>85</v>
      </c>
      <c r="B97" s="53" t="str">
        <f>'PLANILHA OFICIAL '!B34</f>
        <v>ED-29235</v>
      </c>
      <c r="C97" s="449"/>
      <c r="D97" s="470"/>
      <c r="E97" s="471"/>
      <c r="F97" s="471"/>
      <c r="G97" s="471"/>
      <c r="H97" s="472"/>
      <c r="I97" s="228" t="s">
        <v>52</v>
      </c>
      <c r="K97" s="37"/>
    </row>
    <row r="98" spans="1:11" s="35" customFormat="1" ht="30" x14ac:dyDescent="0.2">
      <c r="A98" s="444" t="s">
        <v>40</v>
      </c>
      <c r="B98" s="445"/>
      <c r="C98" s="448" t="s">
        <v>41</v>
      </c>
      <c r="D98" s="450" t="s">
        <v>13</v>
      </c>
      <c r="E98" s="450" t="s">
        <v>42</v>
      </c>
      <c r="F98" s="452" t="s">
        <v>44</v>
      </c>
      <c r="G98" s="450" t="s">
        <v>50</v>
      </c>
      <c r="H98" s="452" t="s">
        <v>53</v>
      </c>
      <c r="I98" s="228" t="s">
        <v>46</v>
      </c>
      <c r="K98" s="37"/>
    </row>
    <row r="99" spans="1:11" s="35" customFormat="1" ht="15" x14ac:dyDescent="0.2">
      <c r="A99" s="446"/>
      <c r="B99" s="447"/>
      <c r="C99" s="449"/>
      <c r="D99" s="451"/>
      <c r="E99" s="451"/>
      <c r="F99" s="453"/>
      <c r="G99" s="451"/>
      <c r="H99" s="453"/>
      <c r="I99" s="229">
        <f>'PLANILHA OFICIAL '!G34</f>
        <v>2.0163510000000002</v>
      </c>
      <c r="K99" s="37"/>
    </row>
    <row r="100" spans="1:11" s="36" customFormat="1" ht="15" x14ac:dyDescent="0.25">
      <c r="A100" s="454" t="s">
        <v>47</v>
      </c>
      <c r="B100" s="455"/>
      <c r="C100" s="41" t="s">
        <v>3</v>
      </c>
      <c r="D100" s="41" t="s">
        <v>3</v>
      </c>
      <c r="E100" s="41" t="s">
        <v>3</v>
      </c>
      <c r="F100" s="41" t="s">
        <v>4</v>
      </c>
      <c r="G100" s="41" t="s">
        <v>54</v>
      </c>
      <c r="H100" s="167" t="s">
        <v>36</v>
      </c>
      <c r="I100" s="230" t="s">
        <v>49</v>
      </c>
      <c r="K100" s="37"/>
    </row>
    <row r="101" spans="1:11" s="346" customFormat="1" x14ac:dyDescent="0.2">
      <c r="A101" s="457" t="s">
        <v>272</v>
      </c>
      <c r="B101" s="458"/>
      <c r="C101" s="280">
        <v>150</v>
      </c>
      <c r="D101" s="280">
        <v>4.0999999999999996</v>
      </c>
      <c r="E101" s="284">
        <v>3.5000000000000003E-2</v>
      </c>
      <c r="F101" s="44">
        <f t="shared" ref="F101" si="40">C101*E101*D101</f>
        <v>21.525000000000002</v>
      </c>
      <c r="G101" s="169">
        <v>0.193</v>
      </c>
      <c r="H101" s="168">
        <f>F101*G101*83.4</f>
        <v>346.47070500000012</v>
      </c>
      <c r="I101" s="233">
        <f>H101*$I$99</f>
        <v>698.60655249745537</v>
      </c>
      <c r="K101" s="37"/>
    </row>
    <row r="102" spans="1:11" s="346" customFormat="1" x14ac:dyDescent="0.2">
      <c r="A102" s="457" t="s">
        <v>273</v>
      </c>
      <c r="B102" s="458"/>
      <c r="C102" s="280">
        <v>71</v>
      </c>
      <c r="D102" s="280">
        <v>4.5999999999999996</v>
      </c>
      <c r="E102" s="284">
        <v>3.5000000000000003E-2</v>
      </c>
      <c r="F102" s="44">
        <f t="shared" ref="F102" si="41">C102*E102*D102</f>
        <v>11.431000000000001</v>
      </c>
      <c r="G102" s="169">
        <v>0.193</v>
      </c>
      <c r="H102" s="168">
        <f>F102*G102*83.4</f>
        <v>183.99566220000003</v>
      </c>
      <c r="I102" s="233">
        <f>H102*$I$99</f>
        <v>370.99983747263229</v>
      </c>
      <c r="K102" s="37"/>
    </row>
    <row r="103" spans="1:11" ht="16.5" thickBot="1" x14ac:dyDescent="0.3">
      <c r="A103" s="436"/>
      <c r="B103" s="437"/>
      <c r="C103" s="234">
        <f>SUM(C101:C102)</f>
        <v>221</v>
      </c>
      <c r="D103" s="234"/>
      <c r="E103" s="234"/>
      <c r="F103" s="234">
        <f>SUM(F101:F102)</f>
        <v>32.956000000000003</v>
      </c>
      <c r="G103" s="234"/>
      <c r="H103" s="234">
        <f>SUM(H101:H102)</f>
        <v>530.46636720000015</v>
      </c>
      <c r="I103" s="235">
        <f>SUM(I101:I102)</f>
        <v>1069.6063899700875</v>
      </c>
      <c r="J103" s="37"/>
      <c r="K103" s="37"/>
    </row>
    <row r="104" spans="1:11" ht="15" thickBot="1" x14ac:dyDescent="0.25">
      <c r="A104" s="26"/>
      <c r="C104" s="54"/>
      <c r="H104" s="43"/>
      <c r="I104" s="43"/>
      <c r="K104" s="37"/>
    </row>
    <row r="105" spans="1:11" s="11" customFormat="1" ht="15.75" x14ac:dyDescent="0.25">
      <c r="A105" s="224" t="s">
        <v>38</v>
      </c>
      <c r="B105" s="225" t="s">
        <v>193</v>
      </c>
      <c r="C105" s="456" t="s">
        <v>35</v>
      </c>
      <c r="D105" s="467" t="s">
        <v>220</v>
      </c>
      <c r="E105" s="468"/>
      <c r="F105" s="468"/>
      <c r="G105" s="468"/>
      <c r="H105" s="469"/>
      <c r="I105" s="226" t="s">
        <v>39</v>
      </c>
      <c r="K105" s="37"/>
    </row>
    <row r="106" spans="1:11" s="11" customFormat="1" ht="15.75" x14ac:dyDescent="0.25">
      <c r="A106" s="227" t="s">
        <v>85</v>
      </c>
      <c r="B106" s="53" t="str">
        <f>'PLANILHA OFICIAL '!B35</f>
        <v>ED-29235</v>
      </c>
      <c r="C106" s="449"/>
      <c r="D106" s="470"/>
      <c r="E106" s="471"/>
      <c r="F106" s="471"/>
      <c r="G106" s="471"/>
      <c r="H106" s="472"/>
      <c r="I106" s="228" t="s">
        <v>52</v>
      </c>
      <c r="K106" s="37"/>
    </row>
    <row r="107" spans="1:11" s="35" customFormat="1" ht="30" x14ac:dyDescent="0.2">
      <c r="A107" s="444" t="s">
        <v>40</v>
      </c>
      <c r="B107" s="445"/>
      <c r="C107" s="448" t="s">
        <v>41</v>
      </c>
      <c r="D107" s="450" t="s">
        <v>13</v>
      </c>
      <c r="E107" s="450" t="s">
        <v>42</v>
      </c>
      <c r="F107" s="452" t="s">
        <v>44</v>
      </c>
      <c r="G107" s="450" t="s">
        <v>51</v>
      </c>
      <c r="H107" s="452" t="s">
        <v>53</v>
      </c>
      <c r="I107" s="228" t="s">
        <v>46</v>
      </c>
      <c r="K107" s="37"/>
    </row>
    <row r="108" spans="1:11" s="35" customFormat="1" ht="15" x14ac:dyDescent="0.2">
      <c r="A108" s="446"/>
      <c r="B108" s="447"/>
      <c r="C108" s="449"/>
      <c r="D108" s="451"/>
      <c r="E108" s="451"/>
      <c r="F108" s="453"/>
      <c r="G108" s="451"/>
      <c r="H108" s="453"/>
      <c r="I108" s="229">
        <f>'PLANILHA OFICIAL '!G35</f>
        <v>2.0163510000000002</v>
      </c>
      <c r="K108" s="37"/>
    </row>
    <row r="109" spans="1:11" s="36" customFormat="1" ht="15" x14ac:dyDescent="0.25">
      <c r="A109" s="454" t="s">
        <v>47</v>
      </c>
      <c r="B109" s="455"/>
      <c r="C109" s="41" t="s">
        <v>3</v>
      </c>
      <c r="D109" s="41" t="s">
        <v>3</v>
      </c>
      <c r="E109" s="41" t="s">
        <v>3</v>
      </c>
      <c r="F109" s="41" t="s">
        <v>4</v>
      </c>
      <c r="G109" s="41" t="s">
        <v>54</v>
      </c>
      <c r="H109" s="167" t="s">
        <v>36</v>
      </c>
      <c r="I109" s="230" t="s">
        <v>49</v>
      </c>
      <c r="K109" s="37"/>
    </row>
    <row r="110" spans="1:11" s="346" customFormat="1" x14ac:dyDescent="0.2">
      <c r="A110" s="457" t="s">
        <v>272</v>
      </c>
      <c r="B110" s="458"/>
      <c r="C110" s="280">
        <v>150</v>
      </c>
      <c r="D110" s="280">
        <v>4.0999999999999996</v>
      </c>
      <c r="E110" s="284">
        <v>3.5000000000000003E-2</v>
      </c>
      <c r="F110" s="44">
        <f t="shared" ref="F110" si="42">C110*E110*D110</f>
        <v>21.525000000000002</v>
      </c>
      <c r="G110" s="169">
        <v>1.167</v>
      </c>
      <c r="H110" s="168">
        <f>F110*G110*228</f>
        <v>5727.2859000000008</v>
      </c>
      <c r="I110" s="231">
        <f t="shared" ref="I110:I111" si="43">$I$108*H110</f>
        <v>11548.218651750904</v>
      </c>
      <c r="K110" s="37"/>
    </row>
    <row r="111" spans="1:11" s="346" customFormat="1" x14ac:dyDescent="0.2">
      <c r="A111" s="457" t="s">
        <v>273</v>
      </c>
      <c r="B111" s="458"/>
      <c r="C111" s="280">
        <v>71</v>
      </c>
      <c r="D111" s="280">
        <v>4.5999999999999996</v>
      </c>
      <c r="E111" s="284">
        <v>3.5000000000000003E-2</v>
      </c>
      <c r="F111" s="44">
        <f t="shared" ref="F111" si="44">C111*E111*D111</f>
        <v>11.431000000000001</v>
      </c>
      <c r="G111" s="169">
        <v>1.167</v>
      </c>
      <c r="H111" s="168">
        <f>F111*G111*228</f>
        <v>3041.514756</v>
      </c>
      <c r="I111" s="231">
        <f t="shared" si="43"/>
        <v>6132.7613197753572</v>
      </c>
      <c r="K111" s="37"/>
    </row>
    <row r="112" spans="1:11" ht="16.5" thickBot="1" x14ac:dyDescent="0.3">
      <c r="A112" s="436"/>
      <c r="B112" s="437"/>
      <c r="C112" s="234">
        <f>SUM(C110:C111)</f>
        <v>221</v>
      </c>
      <c r="D112" s="234"/>
      <c r="E112" s="234"/>
      <c r="F112" s="234">
        <f>SUM(F110:F111)</f>
        <v>32.956000000000003</v>
      </c>
      <c r="G112" s="234"/>
      <c r="H112" s="234">
        <f>SUM(H110:H111)</f>
        <v>8768.8006560000013</v>
      </c>
      <c r="I112" s="235">
        <f>SUM(I110:I111)</f>
        <v>17680.97997152626</v>
      </c>
      <c r="J112" s="37"/>
      <c r="K112" s="37"/>
    </row>
    <row r="113" spans="1:11" ht="15" thickBot="1" x14ac:dyDescent="0.25">
      <c r="A113" s="26"/>
      <c r="C113" s="54"/>
      <c r="H113" s="43"/>
      <c r="I113" s="43"/>
      <c r="K113" s="37"/>
    </row>
    <row r="114" spans="1:11" s="11" customFormat="1" ht="12.75" customHeight="1" x14ac:dyDescent="0.25">
      <c r="A114" s="224" t="s">
        <v>38</v>
      </c>
      <c r="B114" s="225" t="s">
        <v>194</v>
      </c>
      <c r="C114" s="456" t="s">
        <v>35</v>
      </c>
      <c r="D114" s="467" t="s">
        <v>172</v>
      </c>
      <c r="E114" s="468"/>
      <c r="F114" s="468"/>
      <c r="G114" s="468"/>
      <c r="H114" s="469"/>
      <c r="I114" s="226" t="s">
        <v>39</v>
      </c>
      <c r="K114" s="37"/>
    </row>
    <row r="115" spans="1:11" s="11" customFormat="1" ht="12.75" customHeight="1" x14ac:dyDescent="0.25">
      <c r="A115" s="227" t="s">
        <v>85</v>
      </c>
      <c r="B115" s="53" t="str">
        <f>'PLANILHA OFICIAL '!B36</f>
        <v>ED-29235</v>
      </c>
      <c r="C115" s="449"/>
      <c r="D115" s="470"/>
      <c r="E115" s="471"/>
      <c r="F115" s="471"/>
      <c r="G115" s="471"/>
      <c r="H115" s="472"/>
      <c r="I115" s="228" t="s">
        <v>180</v>
      </c>
      <c r="K115" s="37"/>
    </row>
    <row r="116" spans="1:11" s="35" customFormat="1" ht="28.5" customHeight="1" x14ac:dyDescent="0.2">
      <c r="A116" s="444" t="s">
        <v>40</v>
      </c>
      <c r="B116" s="445"/>
      <c r="C116" s="448" t="s">
        <v>41</v>
      </c>
      <c r="D116" s="450" t="s">
        <v>13</v>
      </c>
      <c r="E116" s="450" t="s">
        <v>42</v>
      </c>
      <c r="F116" s="452" t="s">
        <v>44</v>
      </c>
      <c r="G116" s="450" t="s">
        <v>51</v>
      </c>
      <c r="H116" s="452" t="s">
        <v>53</v>
      </c>
      <c r="I116" s="228" t="s">
        <v>46</v>
      </c>
      <c r="K116" s="37"/>
    </row>
    <row r="117" spans="1:11" s="35" customFormat="1" ht="15" x14ac:dyDescent="0.2">
      <c r="A117" s="446"/>
      <c r="B117" s="447"/>
      <c r="C117" s="449"/>
      <c r="D117" s="451"/>
      <c r="E117" s="451"/>
      <c r="F117" s="453"/>
      <c r="G117" s="451"/>
      <c r="H117" s="453"/>
      <c r="I117" s="229">
        <f>'PLANILHA OFICIAL '!G36</f>
        <v>2.0163510000000002</v>
      </c>
      <c r="K117" s="37"/>
    </row>
    <row r="118" spans="1:11" s="36" customFormat="1" ht="15" x14ac:dyDescent="0.25">
      <c r="A118" s="454" t="s">
        <v>47</v>
      </c>
      <c r="B118" s="455"/>
      <c r="C118" s="41" t="s">
        <v>3</v>
      </c>
      <c r="D118" s="41" t="s">
        <v>3</v>
      </c>
      <c r="E118" s="41" t="s">
        <v>3</v>
      </c>
      <c r="F118" s="41" t="s">
        <v>4</v>
      </c>
      <c r="G118" s="41" t="s">
        <v>21</v>
      </c>
      <c r="H118" s="167" t="s">
        <v>187</v>
      </c>
      <c r="I118" s="230" t="s">
        <v>49</v>
      </c>
      <c r="K118" s="37"/>
    </row>
    <row r="119" spans="1:11" s="346" customFormat="1" x14ac:dyDescent="0.2">
      <c r="A119" s="457" t="s">
        <v>272</v>
      </c>
      <c r="B119" s="458"/>
      <c r="C119" s="280">
        <v>150</v>
      </c>
      <c r="D119" s="280">
        <v>4.0999999999999996</v>
      </c>
      <c r="E119" s="284">
        <v>3.5000000000000003E-2</v>
      </c>
      <c r="F119" s="42">
        <f t="shared" ref="F119" si="45">C119*D119*E119</f>
        <v>21.525000000000002</v>
      </c>
      <c r="G119" s="42">
        <f t="shared" ref="G119" si="46">2.3*F119</f>
        <v>49.5075</v>
      </c>
      <c r="H119" s="168">
        <f t="shared" ref="H119" si="47">F119*2</f>
        <v>43.050000000000004</v>
      </c>
      <c r="I119" s="231">
        <f t="shared" ref="I119:I120" si="48">$I$117*H119</f>
        <v>86.803910550000012</v>
      </c>
      <c r="K119" s="37"/>
    </row>
    <row r="120" spans="1:11" s="346" customFormat="1" x14ac:dyDescent="0.2">
      <c r="A120" s="457" t="s">
        <v>273</v>
      </c>
      <c r="B120" s="458"/>
      <c r="C120" s="280">
        <v>71</v>
      </c>
      <c r="D120" s="280">
        <v>4.5999999999999996</v>
      </c>
      <c r="E120" s="284">
        <v>3.5000000000000003E-2</v>
      </c>
      <c r="F120" s="42">
        <f t="shared" ref="F120" si="49">C120*D120*E120</f>
        <v>11.430999999999999</v>
      </c>
      <c r="G120" s="42">
        <f t="shared" ref="G120" si="50">2.3*F120</f>
        <v>26.291299999999996</v>
      </c>
      <c r="H120" s="168">
        <f t="shared" ref="H120" si="51">F120*2</f>
        <v>22.861999999999998</v>
      </c>
      <c r="I120" s="231">
        <f t="shared" si="48"/>
        <v>46.097816561999998</v>
      </c>
      <c r="K120" s="37"/>
    </row>
    <row r="121" spans="1:11" ht="16.5" thickBot="1" x14ac:dyDescent="0.3">
      <c r="A121" s="436"/>
      <c r="B121" s="437"/>
      <c r="C121" s="234">
        <f>SUM(C119:C120)</f>
        <v>221</v>
      </c>
      <c r="D121" s="234"/>
      <c r="E121" s="234"/>
      <c r="F121" s="234">
        <f>SUM(F119:F120)</f>
        <v>32.956000000000003</v>
      </c>
      <c r="G121" s="234">
        <f>SUM(G119:G120)</f>
        <v>75.7988</v>
      </c>
      <c r="H121" s="234">
        <f>SUM(H119:H120)</f>
        <v>65.912000000000006</v>
      </c>
      <c r="I121" s="235">
        <f>SUM(I119:I120)</f>
        <v>132.901727112</v>
      </c>
      <c r="J121" s="37"/>
      <c r="K121" s="244"/>
    </row>
    <row r="122" spans="1:11" ht="16.5" thickBot="1" x14ac:dyDescent="0.3">
      <c r="A122" s="222"/>
      <c r="B122" s="222"/>
      <c r="C122" s="179"/>
      <c r="D122" s="179"/>
      <c r="E122" s="179"/>
      <c r="F122" s="179"/>
      <c r="G122" s="179"/>
      <c r="H122" s="179"/>
      <c r="I122" s="179"/>
      <c r="J122" s="37"/>
      <c r="K122" s="244"/>
    </row>
    <row r="123" spans="1:11" ht="15.75" x14ac:dyDescent="0.25">
      <c r="A123" s="224" t="s">
        <v>38</v>
      </c>
      <c r="B123" s="225" t="s">
        <v>195</v>
      </c>
      <c r="C123" s="456" t="s">
        <v>35</v>
      </c>
      <c r="D123" s="438" t="str">
        <f>'PLANILHA OFICIAL '!C37</f>
        <v>CARGA MECÂNICA DE MATERIAL DE QUALQUER NATUREZA
SOBRE CAMINHÃO, EXCLUSIVE TRANSPORTE (PMF)</v>
      </c>
      <c r="E123" s="439"/>
      <c r="F123" s="439"/>
      <c r="G123" s="439"/>
      <c r="H123" s="440"/>
      <c r="I123" s="226" t="s">
        <v>39</v>
      </c>
      <c r="J123" s="37"/>
      <c r="K123" s="244"/>
    </row>
    <row r="124" spans="1:11" ht="45.75" customHeight="1" x14ac:dyDescent="0.25">
      <c r="A124" s="227" t="s">
        <v>85</v>
      </c>
      <c r="B124" s="53" t="str">
        <f>'PLANILHA OFICIAL '!B37</f>
        <v>ED-51132</v>
      </c>
      <c r="C124" s="449"/>
      <c r="D124" s="441"/>
      <c r="E124" s="442"/>
      <c r="F124" s="442"/>
      <c r="G124" s="442"/>
      <c r="H124" s="443"/>
      <c r="I124" s="228" t="s">
        <v>2</v>
      </c>
      <c r="J124" s="37"/>
      <c r="K124" s="244"/>
    </row>
    <row r="125" spans="1:11" ht="30" x14ac:dyDescent="0.2">
      <c r="A125" s="444" t="s">
        <v>40</v>
      </c>
      <c r="B125" s="445"/>
      <c r="C125" s="448" t="s">
        <v>41</v>
      </c>
      <c r="D125" s="450" t="s">
        <v>13</v>
      </c>
      <c r="E125" s="450" t="s">
        <v>42</v>
      </c>
      <c r="F125" s="452" t="s">
        <v>43</v>
      </c>
      <c r="G125" s="450" t="s">
        <v>44</v>
      </c>
      <c r="H125" s="452" t="s">
        <v>51</v>
      </c>
      <c r="I125" s="228" t="s">
        <v>46</v>
      </c>
      <c r="J125" s="37"/>
      <c r="K125" s="244"/>
    </row>
    <row r="126" spans="1:11" ht="15" x14ac:dyDescent="0.2">
      <c r="A126" s="446"/>
      <c r="B126" s="447"/>
      <c r="C126" s="449"/>
      <c r="D126" s="451"/>
      <c r="E126" s="451"/>
      <c r="F126" s="453"/>
      <c r="G126" s="451"/>
      <c r="H126" s="453"/>
      <c r="I126" s="229">
        <f>'PLANILHA OFICIAL '!G37</f>
        <v>3.750156</v>
      </c>
      <c r="J126" s="37"/>
      <c r="K126" s="244"/>
    </row>
    <row r="127" spans="1:11" ht="15" x14ac:dyDescent="0.25">
      <c r="A127" s="454" t="s">
        <v>47</v>
      </c>
      <c r="B127" s="455"/>
      <c r="C127" s="41" t="s">
        <v>3</v>
      </c>
      <c r="D127" s="41" t="s">
        <v>3</v>
      </c>
      <c r="E127" s="41" t="s">
        <v>3</v>
      </c>
      <c r="F127" s="41" t="s">
        <v>7</v>
      </c>
      <c r="G127" s="41" t="s">
        <v>8</v>
      </c>
      <c r="H127" s="167" t="s">
        <v>21</v>
      </c>
      <c r="I127" s="230" t="s">
        <v>49</v>
      </c>
      <c r="J127" s="37"/>
      <c r="K127" s="244"/>
    </row>
    <row r="128" spans="1:11" x14ac:dyDescent="0.2">
      <c r="A128" s="457" t="s">
        <v>272</v>
      </c>
      <c r="B128" s="458"/>
      <c r="C128" s="280">
        <v>150</v>
      </c>
      <c r="D128" s="280">
        <v>4.0999999999999996</v>
      </c>
      <c r="E128" s="284">
        <v>3.5000000000000003E-2</v>
      </c>
      <c r="F128" s="42">
        <f t="shared" ref="F128" si="52">C128*D128</f>
        <v>615</v>
      </c>
      <c r="G128" s="42">
        <f t="shared" ref="G128" si="53">E128*F128</f>
        <v>21.525000000000002</v>
      </c>
      <c r="H128" s="168">
        <f>2.3*G128</f>
        <v>49.5075</v>
      </c>
      <c r="I128" s="231">
        <f>G128*I126</f>
        <v>80.722107900000012</v>
      </c>
      <c r="J128" s="37"/>
      <c r="K128" s="244"/>
    </row>
    <row r="129" spans="1:11" x14ac:dyDescent="0.2">
      <c r="A129" s="457" t="s">
        <v>273</v>
      </c>
      <c r="B129" s="458"/>
      <c r="C129" s="280">
        <v>71</v>
      </c>
      <c r="D129" s="280">
        <v>4.5999999999999996</v>
      </c>
      <c r="E129" s="284">
        <v>3.5000000000000003E-2</v>
      </c>
      <c r="F129" s="42">
        <f t="shared" ref="F129" si="54">C129*D129</f>
        <v>326.59999999999997</v>
      </c>
      <c r="G129" s="42">
        <f t="shared" ref="G129" si="55">E129*F129</f>
        <v>11.430999999999999</v>
      </c>
      <c r="H129" s="168">
        <f>2.3*G129</f>
        <v>26.291299999999996</v>
      </c>
      <c r="I129" s="231">
        <f>G129*I126</f>
        <v>42.868033235999995</v>
      </c>
      <c r="J129" s="37"/>
      <c r="K129" s="244"/>
    </row>
    <row r="130" spans="1:11" ht="16.5" thickBot="1" x14ac:dyDescent="0.3">
      <c r="A130" s="436"/>
      <c r="B130" s="437"/>
      <c r="C130" s="234">
        <f>SUM(C128:C129)</f>
        <v>221</v>
      </c>
      <c r="D130" s="234"/>
      <c r="E130" s="234"/>
      <c r="F130" s="234">
        <f>SUM(F128:F129)</f>
        <v>941.59999999999991</v>
      </c>
      <c r="G130" s="234">
        <f>SUM(G128:G129)</f>
        <v>32.956000000000003</v>
      </c>
      <c r="H130" s="234">
        <f>SUM(H128:H129)</f>
        <v>75.7988</v>
      </c>
      <c r="I130" s="235">
        <f>SUM(I128:I129)</f>
        <v>123.590141136</v>
      </c>
      <c r="J130" s="37"/>
      <c r="K130" s="244"/>
    </row>
    <row r="131" spans="1:11" ht="15.75" x14ac:dyDescent="0.25">
      <c r="A131" s="222"/>
      <c r="B131" s="222"/>
      <c r="C131" s="179"/>
      <c r="D131" s="179"/>
      <c r="E131" s="179"/>
      <c r="F131" s="179"/>
      <c r="G131" s="179"/>
      <c r="H131" s="179"/>
      <c r="I131" s="179"/>
      <c r="J131" s="37"/>
      <c r="K131" s="244"/>
    </row>
    <row r="132" spans="1:11" ht="5.25" customHeight="1" thickBot="1" x14ac:dyDescent="0.25">
      <c r="A132" s="26"/>
      <c r="C132" s="54"/>
      <c r="H132" s="43"/>
      <c r="I132" s="43"/>
      <c r="K132" s="37"/>
    </row>
    <row r="133" spans="1:11" s="11" customFormat="1" ht="14.25" customHeight="1" x14ac:dyDescent="0.25">
      <c r="A133" s="224" t="s">
        <v>38</v>
      </c>
      <c r="B133" s="225" t="s">
        <v>215</v>
      </c>
      <c r="C133" s="456" t="s">
        <v>35</v>
      </c>
      <c r="D133" s="467" t="str">
        <f>'PLANILHA OFICIAL '!C38</f>
        <v>TRANSPORTE DE MATERIAL DE QUALQUER NATUREZA EM
CAMINHÃO, DISTÂNCIA MAIORES QUE 30KM, DENTRO DO
PERÍMETRO URBANO, EXCLUSIVE CARGA, INCLUSIVE DESCARGA. BELO HORIZONTE - MONTALVANIA (PMF)</v>
      </c>
      <c r="E133" s="468"/>
      <c r="F133" s="468"/>
      <c r="G133" s="468"/>
      <c r="H133" s="469"/>
      <c r="I133" s="226" t="s">
        <v>39</v>
      </c>
      <c r="K133" s="37"/>
    </row>
    <row r="134" spans="1:11" s="11" customFormat="1" ht="66.75" customHeight="1" x14ac:dyDescent="0.25">
      <c r="A134" s="227" t="s">
        <v>85</v>
      </c>
      <c r="B134" s="53" t="str">
        <f>'PLANILHA OFICIAL '!B38</f>
        <v>ED-29235</v>
      </c>
      <c r="C134" s="449"/>
      <c r="D134" s="470"/>
      <c r="E134" s="471"/>
      <c r="F134" s="471"/>
      <c r="G134" s="471"/>
      <c r="H134" s="472"/>
      <c r="I134" s="228" t="s">
        <v>88</v>
      </c>
      <c r="K134" s="37"/>
    </row>
    <row r="135" spans="1:11" s="35" customFormat="1" ht="27" customHeight="1" x14ac:dyDescent="0.2">
      <c r="A135" s="444" t="s">
        <v>40</v>
      </c>
      <c r="B135" s="445"/>
      <c r="C135" s="448" t="s">
        <v>41</v>
      </c>
      <c r="D135" s="450" t="s">
        <v>13</v>
      </c>
      <c r="E135" s="450" t="s">
        <v>42</v>
      </c>
      <c r="F135" s="452" t="s">
        <v>44</v>
      </c>
      <c r="G135" s="450" t="s">
        <v>50</v>
      </c>
      <c r="H135" s="452" t="s">
        <v>53</v>
      </c>
      <c r="I135" s="228" t="s">
        <v>46</v>
      </c>
      <c r="K135" s="37"/>
    </row>
    <row r="136" spans="1:11" s="35" customFormat="1" ht="15" x14ac:dyDescent="0.2">
      <c r="A136" s="446"/>
      <c r="B136" s="447"/>
      <c r="C136" s="449"/>
      <c r="D136" s="451"/>
      <c r="E136" s="451"/>
      <c r="F136" s="453"/>
      <c r="G136" s="451"/>
      <c r="H136" s="453"/>
      <c r="I136" s="229">
        <f>'PLANILHA OFICIAL '!G38</f>
        <v>2.0163510000000002</v>
      </c>
      <c r="K136" s="37"/>
    </row>
    <row r="137" spans="1:11" s="36" customFormat="1" ht="15" x14ac:dyDescent="0.25">
      <c r="A137" s="454" t="s">
        <v>47</v>
      </c>
      <c r="B137" s="455"/>
      <c r="C137" s="41" t="s">
        <v>3</v>
      </c>
      <c r="D137" s="41" t="s">
        <v>3</v>
      </c>
      <c r="E137" s="41" t="s">
        <v>3</v>
      </c>
      <c r="F137" s="41" t="s">
        <v>4</v>
      </c>
      <c r="G137" s="41" t="s">
        <v>91</v>
      </c>
      <c r="H137" s="167" t="s">
        <v>89</v>
      </c>
      <c r="I137" s="230" t="s">
        <v>49</v>
      </c>
      <c r="K137" s="37"/>
    </row>
    <row r="138" spans="1:11" s="346" customFormat="1" x14ac:dyDescent="0.2">
      <c r="A138" s="457" t="s">
        <v>272</v>
      </c>
      <c r="B138" s="458"/>
      <c r="C138" s="280">
        <v>150</v>
      </c>
      <c r="D138" s="280">
        <v>4.0999999999999996</v>
      </c>
      <c r="E138" s="284">
        <v>3.5000000000000003E-2</v>
      </c>
      <c r="F138" s="42">
        <f t="shared" ref="F138" si="56">C138*D138*E138</f>
        <v>21.525000000000002</v>
      </c>
      <c r="G138" s="169">
        <v>0.17</v>
      </c>
      <c r="H138" s="168">
        <f>778*G138*F138</f>
        <v>2846.8965000000007</v>
      </c>
      <c r="I138" s="231">
        <f t="shared" ref="I138:I139" si="57">$I$136*H138</f>
        <v>5740.3426046715022</v>
      </c>
      <c r="K138" s="37"/>
    </row>
    <row r="139" spans="1:11" s="346" customFormat="1" x14ac:dyDescent="0.2">
      <c r="A139" s="457" t="s">
        <v>273</v>
      </c>
      <c r="B139" s="458"/>
      <c r="C139" s="280">
        <v>71</v>
      </c>
      <c r="D139" s="280">
        <v>4.5999999999999996</v>
      </c>
      <c r="E139" s="284">
        <v>3.5000000000000003E-2</v>
      </c>
      <c r="F139" s="42">
        <f t="shared" ref="F139" si="58">C139*D139*E139</f>
        <v>11.430999999999999</v>
      </c>
      <c r="G139" s="169">
        <v>0.17</v>
      </c>
      <c r="H139" s="168">
        <f>778*G139*F139</f>
        <v>1511.8640600000001</v>
      </c>
      <c r="I139" s="231">
        <f t="shared" si="57"/>
        <v>3048.4486092450607</v>
      </c>
      <c r="K139" s="37"/>
    </row>
    <row r="140" spans="1:11" ht="16.5" thickBot="1" x14ac:dyDescent="0.3">
      <c r="A140" s="436"/>
      <c r="B140" s="437"/>
      <c r="C140" s="234">
        <f>SUM(C138:C139)</f>
        <v>221</v>
      </c>
      <c r="D140" s="234"/>
      <c r="E140" s="234"/>
      <c r="F140" s="234">
        <f>SUM(F138:F139)</f>
        <v>32.956000000000003</v>
      </c>
      <c r="G140" s="234"/>
      <c r="H140" s="234">
        <f>SUM(H138:H139)</f>
        <v>4358.7605600000006</v>
      </c>
      <c r="I140" s="235">
        <f>SUM(I138:I139)</f>
        <v>8788.7912139165637</v>
      </c>
      <c r="J140" s="37"/>
      <c r="K140" s="37"/>
    </row>
    <row r="141" spans="1:11" ht="16.5" customHeight="1" thickBot="1" x14ac:dyDescent="0.25">
      <c r="C141" s="54"/>
      <c r="K141" s="37"/>
    </row>
    <row r="142" spans="1:11" s="11" customFormat="1" ht="13.5" customHeight="1" x14ac:dyDescent="0.25">
      <c r="A142" s="224" t="s">
        <v>38</v>
      </c>
      <c r="B142" s="225" t="s">
        <v>12</v>
      </c>
      <c r="C142" s="456" t="s">
        <v>35</v>
      </c>
      <c r="D142" s="473" t="s">
        <v>214</v>
      </c>
      <c r="E142" s="468"/>
      <c r="F142" s="468"/>
      <c r="G142" s="468"/>
      <c r="H142" s="469"/>
      <c r="I142" s="226" t="s">
        <v>39</v>
      </c>
      <c r="K142" s="37"/>
    </row>
    <row r="143" spans="1:11" s="11" customFormat="1" ht="14.25" customHeight="1" x14ac:dyDescent="0.25">
      <c r="A143" s="227" t="s">
        <v>85</v>
      </c>
      <c r="B143" s="264" t="s">
        <v>213</v>
      </c>
      <c r="C143" s="449"/>
      <c r="D143" s="470"/>
      <c r="E143" s="471"/>
      <c r="F143" s="471"/>
      <c r="G143" s="471"/>
      <c r="H143" s="472"/>
      <c r="I143" s="228" t="s">
        <v>55</v>
      </c>
      <c r="K143" s="37"/>
    </row>
    <row r="144" spans="1:11" s="35" customFormat="1" ht="18.75" customHeight="1" x14ac:dyDescent="0.2">
      <c r="A144" s="444" t="s">
        <v>40</v>
      </c>
      <c r="B144" s="445"/>
      <c r="C144" s="474" t="s">
        <v>56</v>
      </c>
      <c r="D144" s="459" t="s">
        <v>59</v>
      </c>
      <c r="E144" s="450" t="s">
        <v>57</v>
      </c>
      <c r="F144" s="450"/>
      <c r="G144" s="459" t="s">
        <v>58</v>
      </c>
      <c r="H144" s="450"/>
      <c r="I144" s="228" t="s">
        <v>46</v>
      </c>
      <c r="K144" s="37"/>
    </row>
    <row r="145" spans="1:11" s="35" customFormat="1" ht="15" customHeight="1" x14ac:dyDescent="0.2">
      <c r="A145" s="446"/>
      <c r="B145" s="447"/>
      <c r="C145" s="475"/>
      <c r="D145" s="460"/>
      <c r="E145" s="451"/>
      <c r="F145" s="451"/>
      <c r="G145" s="460"/>
      <c r="H145" s="451"/>
      <c r="I145" s="229">
        <f>'PLANILHA OFICIAL '!G41</f>
        <v>71.818055999999999</v>
      </c>
      <c r="K145" s="37"/>
    </row>
    <row r="146" spans="1:11" s="36" customFormat="1" ht="15" x14ac:dyDescent="0.25">
      <c r="A146" s="454" t="s">
        <v>47</v>
      </c>
      <c r="B146" s="455"/>
      <c r="C146" s="41" t="s">
        <v>3</v>
      </c>
      <c r="D146" s="41" t="s">
        <v>3</v>
      </c>
      <c r="E146" s="41"/>
      <c r="F146" s="41"/>
      <c r="G146" s="41" t="s">
        <v>3</v>
      </c>
      <c r="H146" s="167"/>
      <c r="I146" s="230" t="s">
        <v>49</v>
      </c>
      <c r="K146" s="37"/>
    </row>
    <row r="147" spans="1:11" s="346" customFormat="1" ht="15" x14ac:dyDescent="0.25">
      <c r="A147" s="457" t="s">
        <v>272</v>
      </c>
      <c r="B147" s="458"/>
      <c r="C147" s="280">
        <v>150</v>
      </c>
      <c r="D147" s="280">
        <v>5</v>
      </c>
      <c r="E147" s="283"/>
      <c r="F147" s="283"/>
      <c r="G147" s="42">
        <f t="shared" ref="G147:G148" si="59">2*C147-(D147*E147)</f>
        <v>300</v>
      </c>
      <c r="H147" s="282"/>
      <c r="I147" s="231">
        <f t="shared" ref="I147:I148" si="60">$I$145*G147</f>
        <v>21545.416799999999</v>
      </c>
      <c r="K147" s="37"/>
    </row>
    <row r="148" spans="1:11" s="346" customFormat="1" ht="15" x14ac:dyDescent="0.25">
      <c r="A148" s="457" t="s">
        <v>273</v>
      </c>
      <c r="B148" s="458"/>
      <c r="C148" s="280">
        <v>71</v>
      </c>
      <c r="D148" s="280">
        <v>5.5</v>
      </c>
      <c r="E148" s="283"/>
      <c r="F148" s="283"/>
      <c r="G148" s="42">
        <f t="shared" si="59"/>
        <v>142</v>
      </c>
      <c r="H148" s="282"/>
      <c r="I148" s="231">
        <f t="shared" si="60"/>
        <v>10198.163951999999</v>
      </c>
      <c r="K148" s="37"/>
    </row>
    <row r="149" spans="1:11" ht="16.5" thickBot="1" x14ac:dyDescent="0.3">
      <c r="A149" s="436" t="s">
        <v>14</v>
      </c>
      <c r="B149" s="437"/>
      <c r="C149" s="234">
        <f>SUM(C147:C148)</f>
        <v>221</v>
      </c>
      <c r="D149" s="234"/>
      <c r="E149" s="234"/>
      <c r="F149" s="234"/>
      <c r="G149" s="234">
        <f>SUM(G147:G148)</f>
        <v>442</v>
      </c>
      <c r="H149" s="234"/>
      <c r="I149" s="235">
        <f>SUM(I147:I148)</f>
        <v>31743.580751999998</v>
      </c>
      <c r="K149" s="37"/>
    </row>
    <row r="150" spans="1:11" ht="15.75" x14ac:dyDescent="0.25">
      <c r="A150" s="222"/>
      <c r="B150" s="222"/>
      <c r="C150" s="179"/>
      <c r="D150" s="179"/>
      <c r="E150" s="179"/>
      <c r="F150" s="179"/>
      <c r="G150" s="179"/>
      <c r="H150" s="179"/>
      <c r="I150" s="179"/>
      <c r="K150" s="37"/>
    </row>
    <row r="154" spans="1:11" x14ac:dyDescent="0.2">
      <c r="D154" s="69"/>
    </row>
    <row r="155" spans="1:11" x14ac:dyDescent="0.2">
      <c r="D155" s="25"/>
    </row>
    <row r="156" spans="1:11" x14ac:dyDescent="0.2">
      <c r="D156" s="25"/>
    </row>
    <row r="157" spans="1:11" x14ac:dyDescent="0.2">
      <c r="D157" s="36" t="s">
        <v>203</v>
      </c>
    </row>
    <row r="158" spans="1:11" x14ac:dyDescent="0.2">
      <c r="D158" s="108" t="s">
        <v>131</v>
      </c>
    </row>
    <row r="159" spans="1:11" x14ac:dyDescent="0.2">
      <c r="D159" s="108" t="s">
        <v>204</v>
      </c>
    </row>
    <row r="160" spans="1:11" x14ac:dyDescent="0.2">
      <c r="D160" s="25"/>
    </row>
    <row r="161" spans="4:4" x14ac:dyDescent="0.2">
      <c r="D161" s="69"/>
    </row>
    <row r="162" spans="4:4" x14ac:dyDescent="0.2">
      <c r="D162" s="69"/>
    </row>
    <row r="163" spans="4:4" x14ac:dyDescent="0.2">
      <c r="D163" s="69"/>
    </row>
    <row r="164" spans="4:4" x14ac:dyDescent="0.2">
      <c r="D164" s="69"/>
    </row>
    <row r="165" spans="4:4" x14ac:dyDescent="0.2">
      <c r="D165" s="69"/>
    </row>
  </sheetData>
  <mergeCells count="207">
    <mergeCell ref="A138:B138"/>
    <mergeCell ref="A11:B11"/>
    <mergeCell ref="A12:B12"/>
    <mergeCell ref="A20:B20"/>
    <mergeCell ref="A21:B21"/>
    <mergeCell ref="A29:B29"/>
    <mergeCell ref="A30:B30"/>
    <mergeCell ref="A38:B38"/>
    <mergeCell ref="A39:B39"/>
    <mergeCell ref="A47:B47"/>
    <mergeCell ref="A118:B118"/>
    <mergeCell ref="A121:B121"/>
    <mergeCell ref="A109:B109"/>
    <mergeCell ref="A100:B100"/>
    <mergeCell ref="A94:B94"/>
    <mergeCell ref="A37:B37"/>
    <mergeCell ref="A40:B40"/>
    <mergeCell ref="A13:B13"/>
    <mergeCell ref="A120:B120"/>
    <mergeCell ref="A55:B55"/>
    <mergeCell ref="A76:B76"/>
    <mergeCell ref="A22:B22"/>
    <mergeCell ref="A85:B85"/>
    <mergeCell ref="A31:B31"/>
    <mergeCell ref="A110:B110"/>
    <mergeCell ref="A111:B111"/>
    <mergeCell ref="A119:B119"/>
    <mergeCell ref="A74:B74"/>
    <mergeCell ref="A75:B75"/>
    <mergeCell ref="D114:H115"/>
    <mergeCell ref="A116:B117"/>
    <mergeCell ref="C116:C117"/>
    <mergeCell ref="E116:E117"/>
    <mergeCell ref="F116:F117"/>
    <mergeCell ref="G116:G117"/>
    <mergeCell ref="H116:H117"/>
    <mergeCell ref="C114:C115"/>
    <mergeCell ref="A112:B112"/>
    <mergeCell ref="D116:D117"/>
    <mergeCell ref="D105:H106"/>
    <mergeCell ref="A107:B108"/>
    <mergeCell ref="C107:C108"/>
    <mergeCell ref="D107:D108"/>
    <mergeCell ref="E107:E108"/>
    <mergeCell ref="F107:F108"/>
    <mergeCell ref="A149:B149"/>
    <mergeCell ref="C142:C143"/>
    <mergeCell ref="D133:H134"/>
    <mergeCell ref="A137:B137"/>
    <mergeCell ref="A135:B136"/>
    <mergeCell ref="C135:C136"/>
    <mergeCell ref="D135:D136"/>
    <mergeCell ref="E135:E136"/>
    <mergeCell ref="F135:F136"/>
    <mergeCell ref="G135:G136"/>
    <mergeCell ref="H135:H136"/>
    <mergeCell ref="C133:C134"/>
    <mergeCell ref="D142:H143"/>
    <mergeCell ref="A146:B146"/>
    <mergeCell ref="C144:C145"/>
    <mergeCell ref="H144:H145"/>
    <mergeCell ref="A140:B140"/>
    <mergeCell ref="A144:B145"/>
    <mergeCell ref="A139:B139"/>
    <mergeCell ref="A147:B147"/>
    <mergeCell ref="A148:B148"/>
    <mergeCell ref="D144:D145"/>
    <mergeCell ref="E144:E145"/>
    <mergeCell ref="F144:F145"/>
    <mergeCell ref="G107:G108"/>
    <mergeCell ref="H107:H108"/>
    <mergeCell ref="A103:B103"/>
    <mergeCell ref="C105:C106"/>
    <mergeCell ref="D96:H97"/>
    <mergeCell ref="A89:B90"/>
    <mergeCell ref="C89:C90"/>
    <mergeCell ref="D89:D90"/>
    <mergeCell ref="E89:E90"/>
    <mergeCell ref="F89:F90"/>
    <mergeCell ref="D98:D99"/>
    <mergeCell ref="E98:E99"/>
    <mergeCell ref="F98:F99"/>
    <mergeCell ref="G98:G99"/>
    <mergeCell ref="H98:H99"/>
    <mergeCell ref="C96:C97"/>
    <mergeCell ref="A91:B91"/>
    <mergeCell ref="A98:B99"/>
    <mergeCell ref="C98:C99"/>
    <mergeCell ref="A92:B92"/>
    <mergeCell ref="A93:B93"/>
    <mergeCell ref="A101:B101"/>
    <mergeCell ref="A102:B102"/>
    <mergeCell ref="D87:H88"/>
    <mergeCell ref="A83:B83"/>
    <mergeCell ref="A84:B84"/>
    <mergeCell ref="G89:G90"/>
    <mergeCell ref="H89:H90"/>
    <mergeCell ref="C71:C72"/>
    <mergeCell ref="A67:B67"/>
    <mergeCell ref="C69:C70"/>
    <mergeCell ref="C87:C88"/>
    <mergeCell ref="A82:B82"/>
    <mergeCell ref="D78:H79"/>
    <mergeCell ref="A80:B81"/>
    <mergeCell ref="C80:C81"/>
    <mergeCell ref="D80:D81"/>
    <mergeCell ref="E80:E81"/>
    <mergeCell ref="F80:F81"/>
    <mergeCell ref="C78:C79"/>
    <mergeCell ref="A73:B73"/>
    <mergeCell ref="A71:B72"/>
    <mergeCell ref="A58:B58"/>
    <mergeCell ref="A56:B56"/>
    <mergeCell ref="A57:B57"/>
    <mergeCell ref="A65:B65"/>
    <mergeCell ref="A66:B66"/>
    <mergeCell ref="C42:G43"/>
    <mergeCell ref="D51:H52"/>
    <mergeCell ref="A49:B49"/>
    <mergeCell ref="H44:H45"/>
    <mergeCell ref="A46:B46"/>
    <mergeCell ref="A44:B45"/>
    <mergeCell ref="D44:D45"/>
    <mergeCell ref="E44:E45"/>
    <mergeCell ref="A48:B48"/>
    <mergeCell ref="C44:C45"/>
    <mergeCell ref="E62:E63"/>
    <mergeCell ref="F62:F63"/>
    <mergeCell ref="A62:B63"/>
    <mergeCell ref="A64:B64"/>
    <mergeCell ref="A53:B54"/>
    <mergeCell ref="D33:H34"/>
    <mergeCell ref="A35:B36"/>
    <mergeCell ref="C35:C36"/>
    <mergeCell ref="D35:D36"/>
    <mergeCell ref="E35:E36"/>
    <mergeCell ref="F35:F36"/>
    <mergeCell ref="G35:G36"/>
    <mergeCell ref="H35:H36"/>
    <mergeCell ref="C33:C34"/>
    <mergeCell ref="D24:H25"/>
    <mergeCell ref="A26:B27"/>
    <mergeCell ref="C26:C27"/>
    <mergeCell ref="D26:D27"/>
    <mergeCell ref="E26:E27"/>
    <mergeCell ref="F26:F27"/>
    <mergeCell ref="G26:G27"/>
    <mergeCell ref="H26:H27"/>
    <mergeCell ref="A28:B28"/>
    <mergeCell ref="C24:C25"/>
    <mergeCell ref="D15:H16"/>
    <mergeCell ref="A17:B18"/>
    <mergeCell ref="C17:C18"/>
    <mergeCell ref="D17:D18"/>
    <mergeCell ref="E17:E18"/>
    <mergeCell ref="F17:F18"/>
    <mergeCell ref="G17:G18"/>
    <mergeCell ref="H17:H18"/>
    <mergeCell ref="A19:B19"/>
    <mergeCell ref="C15:C16"/>
    <mergeCell ref="A10:B10"/>
    <mergeCell ref="C6:C7"/>
    <mergeCell ref="D6:H7"/>
    <mergeCell ref="A8:B9"/>
    <mergeCell ref="C8:C9"/>
    <mergeCell ref="D8:D9"/>
    <mergeCell ref="E8:E9"/>
    <mergeCell ref="F8:F9"/>
    <mergeCell ref="G8:G9"/>
    <mergeCell ref="H8:H9"/>
    <mergeCell ref="G144:G145"/>
    <mergeCell ref="F44:F45"/>
    <mergeCell ref="G44:G45"/>
    <mergeCell ref="D69:H70"/>
    <mergeCell ref="C53:C54"/>
    <mergeCell ref="D53:D54"/>
    <mergeCell ref="E53:E54"/>
    <mergeCell ref="F53:F54"/>
    <mergeCell ref="G53:G54"/>
    <mergeCell ref="H53:H54"/>
    <mergeCell ref="D60:H61"/>
    <mergeCell ref="C51:C52"/>
    <mergeCell ref="G62:G63"/>
    <mergeCell ref="H62:H63"/>
    <mergeCell ref="C60:C61"/>
    <mergeCell ref="D71:D72"/>
    <mergeCell ref="E71:E72"/>
    <mergeCell ref="F71:F72"/>
    <mergeCell ref="G71:G72"/>
    <mergeCell ref="H71:H72"/>
    <mergeCell ref="C62:C63"/>
    <mergeCell ref="D62:D63"/>
    <mergeCell ref="G80:G81"/>
    <mergeCell ref="H80:H81"/>
    <mergeCell ref="A130:B130"/>
    <mergeCell ref="D123:H124"/>
    <mergeCell ref="A125:B126"/>
    <mergeCell ref="C125:C126"/>
    <mergeCell ref="D125:D126"/>
    <mergeCell ref="E125:E126"/>
    <mergeCell ref="F125:F126"/>
    <mergeCell ref="G125:G126"/>
    <mergeCell ref="H125:H126"/>
    <mergeCell ref="A127:B127"/>
    <mergeCell ref="C123:C124"/>
    <mergeCell ref="A128:B128"/>
    <mergeCell ref="A129:B129"/>
  </mergeCells>
  <conditionalFormatting sqref="B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51181102362204722" right="0.51181102362204722" top="0.94488188976377963" bottom="0.78740157480314965" header="0.43307086614173229" footer="0.31496062992125984"/>
  <pageSetup paperSize="9" scale="77" orientation="portrait" r:id="rId1"/>
  <headerFooter>
    <oddHeader xml:space="preserve">&amp;C&amp;20MEMÓRIA DE CÁLCULO </oddHead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showZeros="0" view="pageBreakPreview" zoomScale="75" zoomScaleNormal="75" zoomScaleSheetLayoutView="75" workbookViewId="0">
      <selection activeCell="D6" sqref="D6:E6"/>
    </sheetView>
  </sheetViews>
  <sheetFormatPr defaultRowHeight="12.75" x14ac:dyDescent="0.2"/>
  <cols>
    <col min="1" max="1" width="10.5703125" style="71" customWidth="1"/>
    <col min="2" max="2" width="10.28515625" style="71" customWidth="1"/>
    <col min="3" max="3" width="51" style="71" customWidth="1"/>
    <col min="4" max="4" width="19.5703125" style="72" customWidth="1"/>
    <col min="5" max="5" width="19" style="72" bestFit="1" customWidth="1"/>
    <col min="6" max="6" width="21.7109375" style="71" customWidth="1"/>
    <col min="7" max="7" width="26.140625" style="71" customWidth="1"/>
    <col min="8" max="8" width="2.140625" style="71" customWidth="1"/>
    <col min="9" max="16384" width="9.140625" style="71"/>
  </cols>
  <sheetData>
    <row r="1" spans="1:7" ht="55.5" customHeight="1" thickBot="1" x14ac:dyDescent="0.3">
      <c r="A1" s="79"/>
      <c r="B1" s="80"/>
      <c r="C1" s="421"/>
      <c r="D1" s="421"/>
      <c r="E1" s="421"/>
      <c r="F1" s="421"/>
      <c r="G1" s="421"/>
    </row>
    <row r="2" spans="1:7" ht="3" customHeight="1" thickBot="1" x14ac:dyDescent="0.25">
      <c r="A2" s="245"/>
      <c r="F2" s="72"/>
      <c r="G2" s="72"/>
    </row>
    <row r="3" spans="1:7" ht="16.5" thickBot="1" x14ac:dyDescent="0.3">
      <c r="A3" s="494"/>
      <c r="B3" s="495"/>
      <c r="C3" s="495"/>
      <c r="D3" s="495"/>
      <c r="E3" s="495"/>
      <c r="F3" s="495"/>
      <c r="G3" s="495"/>
    </row>
    <row r="4" spans="1:7" ht="3" customHeight="1" thickBot="1" x14ac:dyDescent="0.25">
      <c r="A4" s="245"/>
    </row>
    <row r="5" spans="1:7" s="73" customFormat="1" ht="18" customHeight="1" thickBot="1" x14ac:dyDescent="0.25">
      <c r="A5" s="496" t="s">
        <v>100</v>
      </c>
      <c r="B5" s="497"/>
      <c r="C5" s="497"/>
      <c r="D5" s="497"/>
      <c r="E5" s="497"/>
      <c r="F5" s="497"/>
      <c r="G5" s="497"/>
    </row>
    <row r="6" spans="1:7" s="73" customFormat="1" ht="18" customHeight="1" x14ac:dyDescent="0.2">
      <c r="A6" s="498" t="s">
        <v>130</v>
      </c>
      <c r="B6" s="499"/>
      <c r="C6" s="500"/>
      <c r="D6" s="501" t="s">
        <v>200</v>
      </c>
      <c r="E6" s="502"/>
      <c r="F6" s="503">
        <f>'PLANILHA OFICIAL '!H43</f>
        <v>132028.74572457536</v>
      </c>
      <c r="G6" s="503"/>
    </row>
    <row r="7" spans="1:7" s="73" customFormat="1" ht="74.25" customHeight="1" thickBot="1" x14ac:dyDescent="0.25">
      <c r="A7" s="490" t="s">
        <v>269</v>
      </c>
      <c r="B7" s="491"/>
      <c r="C7" s="492"/>
      <c r="D7" s="348" t="s">
        <v>304</v>
      </c>
      <c r="E7" s="243"/>
      <c r="F7" s="478" t="s">
        <v>268</v>
      </c>
      <c r="G7" s="478"/>
    </row>
    <row r="8" spans="1:7" s="73" customFormat="1" ht="36" customHeight="1" thickBot="1" x14ac:dyDescent="0.25">
      <c r="A8" s="78" t="s">
        <v>38</v>
      </c>
      <c r="B8" s="75" t="s">
        <v>70</v>
      </c>
      <c r="C8" s="77" t="s">
        <v>101</v>
      </c>
      <c r="D8" s="76" t="s">
        <v>102</v>
      </c>
      <c r="E8" s="76" t="s">
        <v>103</v>
      </c>
      <c r="F8" s="75" t="s">
        <v>104</v>
      </c>
      <c r="G8" s="75" t="s">
        <v>105</v>
      </c>
    </row>
    <row r="9" spans="1:7" s="73" customFormat="1" ht="14.25" customHeight="1" x14ac:dyDescent="0.2">
      <c r="A9" s="493">
        <v>1</v>
      </c>
      <c r="B9" s="488" t="s">
        <v>106</v>
      </c>
      <c r="C9" s="489" t="str">
        <f>'PLANILHA OFICIAL '!C16</f>
        <v>INSTALAÇÕES INICIAIS DA OBRA</v>
      </c>
      <c r="D9" s="268" t="s">
        <v>107</v>
      </c>
      <c r="E9" s="269">
        <f>E10/E18</f>
        <v>2.9039983584700637E-2</v>
      </c>
      <c r="F9" s="269">
        <v>1</v>
      </c>
      <c r="G9" s="270"/>
    </row>
    <row r="10" spans="1:7" s="73" customFormat="1" ht="14.25" customHeight="1" x14ac:dyDescent="0.2">
      <c r="A10" s="485"/>
      <c r="B10" s="486"/>
      <c r="C10" s="487"/>
      <c r="D10" s="271" t="s">
        <v>108</v>
      </c>
      <c r="E10" s="272">
        <f>'PLANILHA OFICIAL '!H20</f>
        <v>3834.1126085502829</v>
      </c>
      <c r="F10" s="272">
        <f t="shared" ref="F10:G10" si="0">F9*$E$10</f>
        <v>3834.1126085502829</v>
      </c>
      <c r="G10" s="272">
        <f t="shared" si="0"/>
        <v>0</v>
      </c>
    </row>
    <row r="11" spans="1:7" s="73" customFormat="1" ht="14.25" customHeight="1" x14ac:dyDescent="0.2">
      <c r="A11" s="485">
        <v>2</v>
      </c>
      <c r="B11" s="486" t="s">
        <v>112</v>
      </c>
      <c r="C11" s="487" t="str">
        <f>'PLANILHA OFICIAL '!C21</f>
        <v>TERRAPLENAGEM</v>
      </c>
      <c r="D11" s="273" t="s">
        <v>107</v>
      </c>
      <c r="E11" s="269">
        <f>E12/E18</f>
        <v>0.21393921477921279</v>
      </c>
      <c r="F11" s="269">
        <v>1</v>
      </c>
      <c r="G11" s="269"/>
    </row>
    <row r="12" spans="1:7" s="73" customFormat="1" ht="14.25" customHeight="1" x14ac:dyDescent="0.2">
      <c r="A12" s="485"/>
      <c r="B12" s="486"/>
      <c r="C12" s="487"/>
      <c r="D12" s="271" t="s">
        <v>108</v>
      </c>
      <c r="E12" s="272">
        <f>'PLANILHA OFICIAL '!H27</f>
        <v>28246.126188599999</v>
      </c>
      <c r="F12" s="272">
        <f t="shared" ref="F12:G12" si="1">F11*$E$12</f>
        <v>28246.126188599999</v>
      </c>
      <c r="G12" s="272">
        <f t="shared" si="1"/>
        <v>0</v>
      </c>
    </row>
    <row r="13" spans="1:7" s="73" customFormat="1" ht="14.25" customHeight="1" x14ac:dyDescent="0.2">
      <c r="A13" s="485">
        <v>3</v>
      </c>
      <c r="B13" s="486" t="s">
        <v>109</v>
      </c>
      <c r="C13" s="487" t="str">
        <f>'PLANILHA OFICIAL '!C28</f>
        <v>PAVIMENTAÇÃO</v>
      </c>
      <c r="D13" s="273" t="s">
        <v>107</v>
      </c>
      <c r="E13" s="269">
        <f>E14/E18</f>
        <v>0.51659148771819052</v>
      </c>
      <c r="F13" s="269"/>
      <c r="G13" s="269">
        <v>1</v>
      </c>
    </row>
    <row r="14" spans="1:7" s="73" customFormat="1" ht="14.25" customHeight="1" x14ac:dyDescent="0.2">
      <c r="A14" s="485"/>
      <c r="B14" s="486"/>
      <c r="C14" s="487"/>
      <c r="D14" s="271" t="s">
        <v>108</v>
      </c>
      <c r="E14" s="272">
        <f>'PLANILHA OFICIAL '!H39</f>
        <v>68204.926175425077</v>
      </c>
      <c r="F14" s="272">
        <f t="shared" ref="F14:G14" si="2">F13*$E$14</f>
        <v>0</v>
      </c>
      <c r="G14" s="272">
        <f t="shared" si="2"/>
        <v>68204.926175425077</v>
      </c>
    </row>
    <row r="15" spans="1:7" s="73" customFormat="1" ht="14.25" customHeight="1" x14ac:dyDescent="0.2">
      <c r="A15" s="485">
        <v>4</v>
      </c>
      <c r="B15" s="486" t="s">
        <v>110</v>
      </c>
      <c r="C15" s="487" t="str">
        <f>'PLANILHA OFICIAL '!C40</f>
        <v>DRENAGEM</v>
      </c>
      <c r="D15" s="273" t="s">
        <v>107</v>
      </c>
      <c r="E15" s="269">
        <f>E16/E18</f>
        <v>0.24042931391789599</v>
      </c>
      <c r="F15" s="269">
        <v>0.7</v>
      </c>
      <c r="G15" s="269">
        <v>0.3</v>
      </c>
    </row>
    <row r="16" spans="1:7" s="73" customFormat="1" ht="14.25" customHeight="1" x14ac:dyDescent="0.2">
      <c r="A16" s="485"/>
      <c r="B16" s="486"/>
      <c r="C16" s="487"/>
      <c r="D16" s="271" t="s">
        <v>108</v>
      </c>
      <c r="E16" s="274">
        <f>'PLANILHA OFICIAL '!H42</f>
        <v>31743.580751999998</v>
      </c>
      <c r="F16" s="272">
        <f t="shared" ref="F16:G16" si="3">F15*$E$16</f>
        <v>22220.506526399997</v>
      </c>
      <c r="G16" s="272">
        <f t="shared" si="3"/>
        <v>9523.0742255999994</v>
      </c>
    </row>
    <row r="17" spans="1:9" s="73" customFormat="1" ht="14.25" customHeight="1" x14ac:dyDescent="0.2">
      <c r="A17" s="479" t="s">
        <v>14</v>
      </c>
      <c r="B17" s="480"/>
      <c r="C17" s="481"/>
      <c r="D17" s="275" t="s">
        <v>107</v>
      </c>
      <c r="E17" s="276">
        <f>E15+E13+E11+E9</f>
        <v>1</v>
      </c>
      <c r="F17" s="276">
        <f>F18/$E$18</f>
        <v>0.41127971810644065</v>
      </c>
      <c r="G17" s="276">
        <f>G18/$E$18</f>
        <v>0.58872028189355929</v>
      </c>
      <c r="H17" s="106"/>
    </row>
    <row r="18" spans="1:9" s="73" customFormat="1" ht="13.5" customHeight="1" thickBot="1" x14ac:dyDescent="0.25">
      <c r="A18" s="482"/>
      <c r="B18" s="483"/>
      <c r="C18" s="484"/>
      <c r="D18" s="277" t="s">
        <v>108</v>
      </c>
      <c r="E18" s="267">
        <f>E16+E14+E12+E10</f>
        <v>132028.74572457536</v>
      </c>
      <c r="F18" s="267">
        <f>F16+F14+F12+F10</f>
        <v>54300.745323550284</v>
      </c>
      <c r="G18" s="267">
        <f>G16+G14</f>
        <v>77728.00040102507</v>
      </c>
      <c r="H18" s="107"/>
    </row>
    <row r="19" spans="1:9" s="73" customFormat="1" ht="18" customHeight="1" x14ac:dyDescent="0.2">
      <c r="A19" s="479" t="s">
        <v>201</v>
      </c>
      <c r="B19" s="480"/>
      <c r="C19" s="481"/>
      <c r="D19" s="275" t="s">
        <v>107</v>
      </c>
      <c r="E19" s="278"/>
      <c r="F19" s="276">
        <f>F17</f>
        <v>0.41127971810644065</v>
      </c>
      <c r="G19" s="276">
        <f>F17+G17</f>
        <v>1</v>
      </c>
    </row>
    <row r="20" spans="1:9" s="73" customFormat="1" ht="14.25" customHeight="1" thickBot="1" x14ac:dyDescent="0.25">
      <c r="A20" s="482"/>
      <c r="B20" s="483"/>
      <c r="C20" s="484"/>
      <c r="D20" s="277" t="s">
        <v>108</v>
      </c>
      <c r="E20" s="279"/>
      <c r="F20" s="267">
        <f>F18</f>
        <v>54300.745323550284</v>
      </c>
      <c r="G20" s="267">
        <f>F18+G18</f>
        <v>132028.74572457536</v>
      </c>
      <c r="I20" s="73" t="s">
        <v>111</v>
      </c>
    </row>
    <row r="21" spans="1:9" s="73" customFormat="1" ht="76.5" customHeight="1" x14ac:dyDescent="0.2">
      <c r="A21" s="74"/>
      <c r="B21" s="74"/>
      <c r="C21" s="74"/>
      <c r="D21" s="74"/>
      <c r="E21" s="74"/>
      <c r="F21" s="74"/>
      <c r="G21" s="74"/>
    </row>
    <row r="22" spans="1:9" customFormat="1" x14ac:dyDescent="0.2">
      <c r="A22" s="410"/>
      <c r="B22" s="410"/>
      <c r="C22" s="410"/>
      <c r="D22" s="25"/>
    </row>
    <row r="23" spans="1:9" customFormat="1" x14ac:dyDescent="0.2">
      <c r="A23" s="411" t="s">
        <v>203</v>
      </c>
      <c r="B23" s="411"/>
      <c r="C23" s="411"/>
      <c r="D23" s="108"/>
      <c r="E23" s="412" t="s">
        <v>188</v>
      </c>
      <c r="F23" s="412"/>
      <c r="G23" s="412"/>
    </row>
    <row r="24" spans="1:9" customFormat="1" x14ac:dyDescent="0.2">
      <c r="A24" s="409" t="s">
        <v>131</v>
      </c>
      <c r="B24" s="409"/>
      <c r="C24" s="409"/>
      <c r="D24" s="25"/>
      <c r="E24" s="409" t="s">
        <v>132</v>
      </c>
      <c r="F24" s="409"/>
      <c r="G24" s="409"/>
    </row>
    <row r="25" spans="1:9" customFormat="1" x14ac:dyDescent="0.2">
      <c r="A25" s="409" t="s">
        <v>204</v>
      </c>
      <c r="B25" s="409"/>
      <c r="C25" s="409"/>
      <c r="D25" s="25"/>
    </row>
    <row r="26" spans="1:9" ht="14.1" customHeight="1" x14ac:dyDescent="0.2"/>
    <row r="27" spans="1:9" ht="14.1" customHeight="1" x14ac:dyDescent="0.2"/>
    <row r="28" spans="1:9" ht="14.1" customHeight="1" x14ac:dyDescent="0.2"/>
  </sheetData>
  <mergeCells count="28">
    <mergeCell ref="A25:C25"/>
    <mergeCell ref="A22:C22"/>
    <mergeCell ref="A23:C23"/>
    <mergeCell ref="E23:G23"/>
    <mergeCell ref="A24:C24"/>
    <mergeCell ref="E24:G24"/>
    <mergeCell ref="A11:A12"/>
    <mergeCell ref="A3:G3"/>
    <mergeCell ref="A5:G5"/>
    <mergeCell ref="A6:C6"/>
    <mergeCell ref="D6:E6"/>
    <mergeCell ref="F6:G6"/>
    <mergeCell ref="C1:G1"/>
    <mergeCell ref="F7:G7"/>
    <mergeCell ref="A19:C20"/>
    <mergeCell ref="A17:C18"/>
    <mergeCell ref="A13:A14"/>
    <mergeCell ref="B13:B14"/>
    <mergeCell ref="C13:C14"/>
    <mergeCell ref="A15:A16"/>
    <mergeCell ref="C15:C16"/>
    <mergeCell ref="B15:B16"/>
    <mergeCell ref="B9:B10"/>
    <mergeCell ref="C9:C10"/>
    <mergeCell ref="B11:B12"/>
    <mergeCell ref="C11:C12"/>
    <mergeCell ref="A7:C7"/>
    <mergeCell ref="A9:A10"/>
  </mergeCells>
  <printOptions horizontalCentered="1"/>
  <pageMargins left="0.19685039370078741" right="0.19685039370078741" top="0.59055118110236227" bottom="0.19685039370078741" header="0.19685039370078741" footer="0"/>
  <pageSetup paperSize="9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F20" sqref="F20"/>
    </sheetView>
  </sheetViews>
  <sheetFormatPr defaultRowHeight="12.75" x14ac:dyDescent="0.2"/>
  <cols>
    <col min="1" max="1" width="11" style="110" customWidth="1"/>
    <col min="2" max="2" width="9.140625" style="110"/>
    <col min="3" max="3" width="58.7109375" style="110" customWidth="1"/>
    <col min="4" max="4" width="10.28515625" style="110" bestFit="1" customWidth="1"/>
    <col min="5" max="256" width="9.140625" style="110"/>
    <col min="257" max="257" width="11" style="110" customWidth="1"/>
    <col min="258" max="258" width="9.140625" style="110"/>
    <col min="259" max="259" width="58.7109375" style="110" customWidth="1"/>
    <col min="260" max="260" width="10.28515625" style="110" bestFit="1" customWidth="1"/>
    <col min="261" max="512" width="9.140625" style="110"/>
    <col min="513" max="513" width="11" style="110" customWidth="1"/>
    <col min="514" max="514" width="9.140625" style="110"/>
    <col min="515" max="515" width="58.7109375" style="110" customWidth="1"/>
    <col min="516" max="516" width="10.28515625" style="110" bestFit="1" customWidth="1"/>
    <col min="517" max="768" width="9.140625" style="110"/>
    <col min="769" max="769" width="11" style="110" customWidth="1"/>
    <col min="770" max="770" width="9.140625" style="110"/>
    <col min="771" max="771" width="58.7109375" style="110" customWidth="1"/>
    <col min="772" max="772" width="10.28515625" style="110" bestFit="1" customWidth="1"/>
    <col min="773" max="1024" width="9.140625" style="110"/>
    <col min="1025" max="1025" width="11" style="110" customWidth="1"/>
    <col min="1026" max="1026" width="9.140625" style="110"/>
    <col min="1027" max="1027" width="58.7109375" style="110" customWidth="1"/>
    <col min="1028" max="1028" width="10.28515625" style="110" bestFit="1" customWidth="1"/>
    <col min="1029" max="1280" width="9.140625" style="110"/>
    <col min="1281" max="1281" width="11" style="110" customWidth="1"/>
    <col min="1282" max="1282" width="9.140625" style="110"/>
    <col min="1283" max="1283" width="58.7109375" style="110" customWidth="1"/>
    <col min="1284" max="1284" width="10.28515625" style="110" bestFit="1" customWidth="1"/>
    <col min="1285" max="1536" width="9.140625" style="110"/>
    <col min="1537" max="1537" width="11" style="110" customWidth="1"/>
    <col min="1538" max="1538" width="9.140625" style="110"/>
    <col min="1539" max="1539" width="58.7109375" style="110" customWidth="1"/>
    <col min="1540" max="1540" width="10.28515625" style="110" bestFit="1" customWidth="1"/>
    <col min="1541" max="1792" width="9.140625" style="110"/>
    <col min="1793" max="1793" width="11" style="110" customWidth="1"/>
    <col min="1794" max="1794" width="9.140625" style="110"/>
    <col min="1795" max="1795" width="58.7109375" style="110" customWidth="1"/>
    <col min="1796" max="1796" width="10.28515625" style="110" bestFit="1" customWidth="1"/>
    <col min="1797" max="2048" width="9.140625" style="110"/>
    <col min="2049" max="2049" width="11" style="110" customWidth="1"/>
    <col min="2050" max="2050" width="9.140625" style="110"/>
    <col min="2051" max="2051" width="58.7109375" style="110" customWidth="1"/>
    <col min="2052" max="2052" width="10.28515625" style="110" bestFit="1" customWidth="1"/>
    <col min="2053" max="2304" width="9.140625" style="110"/>
    <col min="2305" max="2305" width="11" style="110" customWidth="1"/>
    <col min="2306" max="2306" width="9.140625" style="110"/>
    <col min="2307" max="2307" width="58.7109375" style="110" customWidth="1"/>
    <col min="2308" max="2308" width="10.28515625" style="110" bestFit="1" customWidth="1"/>
    <col min="2309" max="2560" width="9.140625" style="110"/>
    <col min="2561" max="2561" width="11" style="110" customWidth="1"/>
    <col min="2562" max="2562" width="9.140625" style="110"/>
    <col min="2563" max="2563" width="58.7109375" style="110" customWidth="1"/>
    <col min="2564" max="2564" width="10.28515625" style="110" bestFit="1" customWidth="1"/>
    <col min="2565" max="2816" width="9.140625" style="110"/>
    <col min="2817" max="2817" width="11" style="110" customWidth="1"/>
    <col min="2818" max="2818" width="9.140625" style="110"/>
    <col min="2819" max="2819" width="58.7109375" style="110" customWidth="1"/>
    <col min="2820" max="2820" width="10.28515625" style="110" bestFit="1" customWidth="1"/>
    <col min="2821" max="3072" width="9.140625" style="110"/>
    <col min="3073" max="3073" width="11" style="110" customWidth="1"/>
    <col min="3074" max="3074" width="9.140625" style="110"/>
    <col min="3075" max="3075" width="58.7109375" style="110" customWidth="1"/>
    <col min="3076" max="3076" width="10.28515625" style="110" bestFit="1" customWidth="1"/>
    <col min="3077" max="3328" width="9.140625" style="110"/>
    <col min="3329" max="3329" width="11" style="110" customWidth="1"/>
    <col min="3330" max="3330" width="9.140625" style="110"/>
    <col min="3331" max="3331" width="58.7109375" style="110" customWidth="1"/>
    <col min="3332" max="3332" width="10.28515625" style="110" bestFit="1" customWidth="1"/>
    <col min="3333" max="3584" width="9.140625" style="110"/>
    <col min="3585" max="3585" width="11" style="110" customWidth="1"/>
    <col min="3586" max="3586" width="9.140625" style="110"/>
    <col min="3587" max="3587" width="58.7109375" style="110" customWidth="1"/>
    <col min="3588" max="3588" width="10.28515625" style="110" bestFit="1" customWidth="1"/>
    <col min="3589" max="3840" width="9.140625" style="110"/>
    <col min="3841" max="3841" width="11" style="110" customWidth="1"/>
    <col min="3842" max="3842" width="9.140625" style="110"/>
    <col min="3843" max="3843" width="58.7109375" style="110" customWidth="1"/>
    <col min="3844" max="3844" width="10.28515625" style="110" bestFit="1" customWidth="1"/>
    <col min="3845" max="4096" width="9.140625" style="110"/>
    <col min="4097" max="4097" width="11" style="110" customWidth="1"/>
    <col min="4098" max="4098" width="9.140625" style="110"/>
    <col min="4099" max="4099" width="58.7109375" style="110" customWidth="1"/>
    <col min="4100" max="4100" width="10.28515625" style="110" bestFit="1" customWidth="1"/>
    <col min="4101" max="4352" width="9.140625" style="110"/>
    <col min="4353" max="4353" width="11" style="110" customWidth="1"/>
    <col min="4354" max="4354" width="9.140625" style="110"/>
    <col min="4355" max="4355" width="58.7109375" style="110" customWidth="1"/>
    <col min="4356" max="4356" width="10.28515625" style="110" bestFit="1" customWidth="1"/>
    <col min="4357" max="4608" width="9.140625" style="110"/>
    <col min="4609" max="4609" width="11" style="110" customWidth="1"/>
    <col min="4610" max="4610" width="9.140625" style="110"/>
    <col min="4611" max="4611" width="58.7109375" style="110" customWidth="1"/>
    <col min="4612" max="4612" width="10.28515625" style="110" bestFit="1" customWidth="1"/>
    <col min="4613" max="4864" width="9.140625" style="110"/>
    <col min="4865" max="4865" width="11" style="110" customWidth="1"/>
    <col min="4866" max="4866" width="9.140625" style="110"/>
    <col min="4867" max="4867" width="58.7109375" style="110" customWidth="1"/>
    <col min="4868" max="4868" width="10.28515625" style="110" bestFit="1" customWidth="1"/>
    <col min="4869" max="5120" width="9.140625" style="110"/>
    <col min="5121" max="5121" width="11" style="110" customWidth="1"/>
    <col min="5122" max="5122" width="9.140625" style="110"/>
    <col min="5123" max="5123" width="58.7109375" style="110" customWidth="1"/>
    <col min="5124" max="5124" width="10.28515625" style="110" bestFit="1" customWidth="1"/>
    <col min="5125" max="5376" width="9.140625" style="110"/>
    <col min="5377" max="5377" width="11" style="110" customWidth="1"/>
    <col min="5378" max="5378" width="9.140625" style="110"/>
    <col min="5379" max="5379" width="58.7109375" style="110" customWidth="1"/>
    <col min="5380" max="5380" width="10.28515625" style="110" bestFit="1" customWidth="1"/>
    <col min="5381" max="5632" width="9.140625" style="110"/>
    <col min="5633" max="5633" width="11" style="110" customWidth="1"/>
    <col min="5634" max="5634" width="9.140625" style="110"/>
    <col min="5635" max="5635" width="58.7109375" style="110" customWidth="1"/>
    <col min="5636" max="5636" width="10.28515625" style="110" bestFit="1" customWidth="1"/>
    <col min="5637" max="5888" width="9.140625" style="110"/>
    <col min="5889" max="5889" width="11" style="110" customWidth="1"/>
    <col min="5890" max="5890" width="9.140625" style="110"/>
    <col min="5891" max="5891" width="58.7109375" style="110" customWidth="1"/>
    <col min="5892" max="5892" width="10.28515625" style="110" bestFit="1" customWidth="1"/>
    <col min="5893" max="6144" width="9.140625" style="110"/>
    <col min="6145" max="6145" width="11" style="110" customWidth="1"/>
    <col min="6146" max="6146" width="9.140625" style="110"/>
    <col min="6147" max="6147" width="58.7109375" style="110" customWidth="1"/>
    <col min="6148" max="6148" width="10.28515625" style="110" bestFit="1" customWidth="1"/>
    <col min="6149" max="6400" width="9.140625" style="110"/>
    <col min="6401" max="6401" width="11" style="110" customWidth="1"/>
    <col min="6402" max="6402" width="9.140625" style="110"/>
    <col min="6403" max="6403" width="58.7109375" style="110" customWidth="1"/>
    <col min="6404" max="6404" width="10.28515625" style="110" bestFit="1" customWidth="1"/>
    <col min="6405" max="6656" width="9.140625" style="110"/>
    <col min="6657" max="6657" width="11" style="110" customWidth="1"/>
    <col min="6658" max="6658" width="9.140625" style="110"/>
    <col min="6659" max="6659" width="58.7109375" style="110" customWidth="1"/>
    <col min="6660" max="6660" width="10.28515625" style="110" bestFit="1" customWidth="1"/>
    <col min="6661" max="6912" width="9.140625" style="110"/>
    <col min="6913" max="6913" width="11" style="110" customWidth="1"/>
    <col min="6914" max="6914" width="9.140625" style="110"/>
    <col min="6915" max="6915" width="58.7109375" style="110" customWidth="1"/>
    <col min="6916" max="6916" width="10.28515625" style="110" bestFit="1" customWidth="1"/>
    <col min="6917" max="7168" width="9.140625" style="110"/>
    <col min="7169" max="7169" width="11" style="110" customWidth="1"/>
    <col min="7170" max="7170" width="9.140625" style="110"/>
    <col min="7171" max="7171" width="58.7109375" style="110" customWidth="1"/>
    <col min="7172" max="7172" width="10.28515625" style="110" bestFit="1" customWidth="1"/>
    <col min="7173" max="7424" width="9.140625" style="110"/>
    <col min="7425" max="7425" width="11" style="110" customWidth="1"/>
    <col min="7426" max="7426" width="9.140625" style="110"/>
    <col min="7427" max="7427" width="58.7109375" style="110" customWidth="1"/>
    <col min="7428" max="7428" width="10.28515625" style="110" bestFit="1" customWidth="1"/>
    <col min="7429" max="7680" width="9.140625" style="110"/>
    <col min="7681" max="7681" width="11" style="110" customWidth="1"/>
    <col min="7682" max="7682" width="9.140625" style="110"/>
    <col min="7683" max="7683" width="58.7109375" style="110" customWidth="1"/>
    <col min="7684" max="7684" width="10.28515625" style="110" bestFit="1" customWidth="1"/>
    <col min="7685" max="7936" width="9.140625" style="110"/>
    <col min="7937" max="7937" width="11" style="110" customWidth="1"/>
    <col min="7938" max="7938" width="9.140625" style="110"/>
    <col min="7939" max="7939" width="58.7109375" style="110" customWidth="1"/>
    <col min="7940" max="7940" width="10.28515625" style="110" bestFit="1" customWidth="1"/>
    <col min="7941" max="8192" width="9.140625" style="110"/>
    <col min="8193" max="8193" width="11" style="110" customWidth="1"/>
    <col min="8194" max="8194" width="9.140625" style="110"/>
    <col min="8195" max="8195" width="58.7109375" style="110" customWidth="1"/>
    <col min="8196" max="8196" width="10.28515625" style="110" bestFit="1" customWidth="1"/>
    <col min="8197" max="8448" width="9.140625" style="110"/>
    <col min="8449" max="8449" width="11" style="110" customWidth="1"/>
    <col min="8450" max="8450" width="9.140625" style="110"/>
    <col min="8451" max="8451" width="58.7109375" style="110" customWidth="1"/>
    <col min="8452" max="8452" width="10.28515625" style="110" bestFit="1" customWidth="1"/>
    <col min="8453" max="8704" width="9.140625" style="110"/>
    <col min="8705" max="8705" width="11" style="110" customWidth="1"/>
    <col min="8706" max="8706" width="9.140625" style="110"/>
    <col min="8707" max="8707" width="58.7109375" style="110" customWidth="1"/>
    <col min="8708" max="8708" width="10.28515625" style="110" bestFit="1" customWidth="1"/>
    <col min="8709" max="8960" width="9.140625" style="110"/>
    <col min="8961" max="8961" width="11" style="110" customWidth="1"/>
    <col min="8962" max="8962" width="9.140625" style="110"/>
    <col min="8963" max="8963" width="58.7109375" style="110" customWidth="1"/>
    <col min="8964" max="8964" width="10.28515625" style="110" bestFit="1" customWidth="1"/>
    <col min="8965" max="9216" width="9.140625" style="110"/>
    <col min="9217" max="9217" width="11" style="110" customWidth="1"/>
    <col min="9218" max="9218" width="9.140625" style="110"/>
    <col min="9219" max="9219" width="58.7109375" style="110" customWidth="1"/>
    <col min="9220" max="9220" width="10.28515625" style="110" bestFit="1" customWidth="1"/>
    <col min="9221" max="9472" width="9.140625" style="110"/>
    <col min="9473" max="9473" width="11" style="110" customWidth="1"/>
    <col min="9474" max="9474" width="9.140625" style="110"/>
    <col min="9475" max="9475" width="58.7109375" style="110" customWidth="1"/>
    <col min="9476" max="9476" width="10.28515625" style="110" bestFit="1" customWidth="1"/>
    <col min="9477" max="9728" width="9.140625" style="110"/>
    <col min="9729" max="9729" width="11" style="110" customWidth="1"/>
    <col min="9730" max="9730" width="9.140625" style="110"/>
    <col min="9731" max="9731" width="58.7109375" style="110" customWidth="1"/>
    <col min="9732" max="9732" width="10.28515625" style="110" bestFit="1" customWidth="1"/>
    <col min="9733" max="9984" width="9.140625" style="110"/>
    <col min="9985" max="9985" width="11" style="110" customWidth="1"/>
    <col min="9986" max="9986" width="9.140625" style="110"/>
    <col min="9987" max="9987" width="58.7109375" style="110" customWidth="1"/>
    <col min="9988" max="9988" width="10.28515625" style="110" bestFit="1" customWidth="1"/>
    <col min="9989" max="10240" width="9.140625" style="110"/>
    <col min="10241" max="10241" width="11" style="110" customWidth="1"/>
    <col min="10242" max="10242" width="9.140625" style="110"/>
    <col min="10243" max="10243" width="58.7109375" style="110" customWidth="1"/>
    <col min="10244" max="10244" width="10.28515625" style="110" bestFit="1" customWidth="1"/>
    <col min="10245" max="10496" width="9.140625" style="110"/>
    <col min="10497" max="10497" width="11" style="110" customWidth="1"/>
    <col min="10498" max="10498" width="9.140625" style="110"/>
    <col min="10499" max="10499" width="58.7109375" style="110" customWidth="1"/>
    <col min="10500" max="10500" width="10.28515625" style="110" bestFit="1" customWidth="1"/>
    <col min="10501" max="10752" width="9.140625" style="110"/>
    <col min="10753" max="10753" width="11" style="110" customWidth="1"/>
    <col min="10754" max="10754" width="9.140625" style="110"/>
    <col min="10755" max="10755" width="58.7109375" style="110" customWidth="1"/>
    <col min="10756" max="10756" width="10.28515625" style="110" bestFit="1" customWidth="1"/>
    <col min="10757" max="11008" width="9.140625" style="110"/>
    <col min="11009" max="11009" width="11" style="110" customWidth="1"/>
    <col min="11010" max="11010" width="9.140625" style="110"/>
    <col min="11011" max="11011" width="58.7109375" style="110" customWidth="1"/>
    <col min="11012" max="11012" width="10.28515625" style="110" bestFit="1" customWidth="1"/>
    <col min="11013" max="11264" width="9.140625" style="110"/>
    <col min="11265" max="11265" width="11" style="110" customWidth="1"/>
    <col min="11266" max="11266" width="9.140625" style="110"/>
    <col min="11267" max="11267" width="58.7109375" style="110" customWidth="1"/>
    <col min="11268" max="11268" width="10.28515625" style="110" bestFit="1" customWidth="1"/>
    <col min="11269" max="11520" width="9.140625" style="110"/>
    <col min="11521" max="11521" width="11" style="110" customWidth="1"/>
    <col min="11522" max="11522" width="9.140625" style="110"/>
    <col min="11523" max="11523" width="58.7109375" style="110" customWidth="1"/>
    <col min="11524" max="11524" width="10.28515625" style="110" bestFit="1" customWidth="1"/>
    <col min="11525" max="11776" width="9.140625" style="110"/>
    <col min="11777" max="11777" width="11" style="110" customWidth="1"/>
    <col min="11778" max="11778" width="9.140625" style="110"/>
    <col min="11779" max="11779" width="58.7109375" style="110" customWidth="1"/>
    <col min="11780" max="11780" width="10.28515625" style="110" bestFit="1" customWidth="1"/>
    <col min="11781" max="12032" width="9.140625" style="110"/>
    <col min="12033" max="12033" width="11" style="110" customWidth="1"/>
    <col min="12034" max="12034" width="9.140625" style="110"/>
    <col min="12035" max="12035" width="58.7109375" style="110" customWidth="1"/>
    <col min="12036" max="12036" width="10.28515625" style="110" bestFit="1" customWidth="1"/>
    <col min="12037" max="12288" width="9.140625" style="110"/>
    <col min="12289" max="12289" width="11" style="110" customWidth="1"/>
    <col min="12290" max="12290" width="9.140625" style="110"/>
    <col min="12291" max="12291" width="58.7109375" style="110" customWidth="1"/>
    <col min="12292" max="12292" width="10.28515625" style="110" bestFit="1" customWidth="1"/>
    <col min="12293" max="12544" width="9.140625" style="110"/>
    <col min="12545" max="12545" width="11" style="110" customWidth="1"/>
    <col min="12546" max="12546" width="9.140625" style="110"/>
    <col min="12547" max="12547" width="58.7109375" style="110" customWidth="1"/>
    <col min="12548" max="12548" width="10.28515625" style="110" bestFit="1" customWidth="1"/>
    <col min="12549" max="12800" width="9.140625" style="110"/>
    <col min="12801" max="12801" width="11" style="110" customWidth="1"/>
    <col min="12802" max="12802" width="9.140625" style="110"/>
    <col min="12803" max="12803" width="58.7109375" style="110" customWidth="1"/>
    <col min="12804" max="12804" width="10.28515625" style="110" bestFit="1" customWidth="1"/>
    <col min="12805" max="13056" width="9.140625" style="110"/>
    <col min="13057" max="13057" width="11" style="110" customWidth="1"/>
    <col min="13058" max="13058" width="9.140625" style="110"/>
    <col min="13059" max="13059" width="58.7109375" style="110" customWidth="1"/>
    <col min="13060" max="13060" width="10.28515625" style="110" bestFit="1" customWidth="1"/>
    <col min="13061" max="13312" width="9.140625" style="110"/>
    <col min="13313" max="13313" width="11" style="110" customWidth="1"/>
    <col min="13314" max="13314" width="9.140625" style="110"/>
    <col min="13315" max="13315" width="58.7109375" style="110" customWidth="1"/>
    <col min="13316" max="13316" width="10.28515625" style="110" bestFit="1" customWidth="1"/>
    <col min="13317" max="13568" width="9.140625" style="110"/>
    <col min="13569" max="13569" width="11" style="110" customWidth="1"/>
    <col min="13570" max="13570" width="9.140625" style="110"/>
    <col min="13571" max="13571" width="58.7109375" style="110" customWidth="1"/>
    <col min="13572" max="13572" width="10.28515625" style="110" bestFit="1" customWidth="1"/>
    <col min="13573" max="13824" width="9.140625" style="110"/>
    <col min="13825" max="13825" width="11" style="110" customWidth="1"/>
    <col min="13826" max="13826" width="9.140625" style="110"/>
    <col min="13827" max="13827" width="58.7109375" style="110" customWidth="1"/>
    <col min="13828" max="13828" width="10.28515625" style="110" bestFit="1" customWidth="1"/>
    <col min="13829" max="14080" width="9.140625" style="110"/>
    <col min="14081" max="14081" width="11" style="110" customWidth="1"/>
    <col min="14082" max="14082" width="9.140625" style="110"/>
    <col min="14083" max="14083" width="58.7109375" style="110" customWidth="1"/>
    <col min="14084" max="14084" width="10.28515625" style="110" bestFit="1" customWidth="1"/>
    <col min="14085" max="14336" width="9.140625" style="110"/>
    <col min="14337" max="14337" width="11" style="110" customWidth="1"/>
    <col min="14338" max="14338" width="9.140625" style="110"/>
    <col min="14339" max="14339" width="58.7109375" style="110" customWidth="1"/>
    <col min="14340" max="14340" width="10.28515625" style="110" bestFit="1" customWidth="1"/>
    <col min="14341" max="14592" width="9.140625" style="110"/>
    <col min="14593" max="14593" width="11" style="110" customWidth="1"/>
    <col min="14594" max="14594" width="9.140625" style="110"/>
    <col min="14595" max="14595" width="58.7109375" style="110" customWidth="1"/>
    <col min="14596" max="14596" width="10.28515625" style="110" bestFit="1" customWidth="1"/>
    <col min="14597" max="14848" width="9.140625" style="110"/>
    <col min="14849" max="14849" width="11" style="110" customWidth="1"/>
    <col min="14850" max="14850" width="9.140625" style="110"/>
    <col min="14851" max="14851" width="58.7109375" style="110" customWidth="1"/>
    <col min="14852" max="14852" width="10.28515625" style="110" bestFit="1" customWidth="1"/>
    <col min="14853" max="15104" width="9.140625" style="110"/>
    <col min="15105" max="15105" width="11" style="110" customWidth="1"/>
    <col min="15106" max="15106" width="9.140625" style="110"/>
    <col min="15107" max="15107" width="58.7109375" style="110" customWidth="1"/>
    <col min="15108" max="15108" width="10.28515625" style="110" bestFit="1" customWidth="1"/>
    <col min="15109" max="15360" width="9.140625" style="110"/>
    <col min="15361" max="15361" width="11" style="110" customWidth="1"/>
    <col min="15362" max="15362" width="9.140625" style="110"/>
    <col min="15363" max="15363" width="58.7109375" style="110" customWidth="1"/>
    <col min="15364" max="15364" width="10.28515625" style="110" bestFit="1" customWidth="1"/>
    <col min="15365" max="15616" width="9.140625" style="110"/>
    <col min="15617" max="15617" width="11" style="110" customWidth="1"/>
    <col min="15618" max="15618" width="9.140625" style="110"/>
    <col min="15619" max="15619" width="58.7109375" style="110" customWidth="1"/>
    <col min="15620" max="15620" width="10.28515625" style="110" bestFit="1" customWidth="1"/>
    <col min="15621" max="15872" width="9.140625" style="110"/>
    <col min="15873" max="15873" width="11" style="110" customWidth="1"/>
    <col min="15874" max="15874" width="9.140625" style="110"/>
    <col min="15875" max="15875" width="58.7109375" style="110" customWidth="1"/>
    <col min="15876" max="15876" width="10.28515625" style="110" bestFit="1" customWidth="1"/>
    <col min="15877" max="16128" width="9.140625" style="110"/>
    <col min="16129" max="16129" width="11" style="110" customWidth="1"/>
    <col min="16130" max="16130" width="9.140625" style="110"/>
    <col min="16131" max="16131" width="58.7109375" style="110" customWidth="1"/>
    <col min="16132" max="16132" width="10.28515625" style="110" bestFit="1" customWidth="1"/>
    <col min="16133" max="16384" width="9.140625" style="110"/>
  </cols>
  <sheetData>
    <row r="1" spans="1:4" ht="18" x14ac:dyDescent="0.2">
      <c r="A1" s="504" t="s">
        <v>176</v>
      </c>
      <c r="B1" s="505"/>
      <c r="C1" s="505"/>
      <c r="D1" s="506"/>
    </row>
    <row r="2" spans="1:4" ht="13.5" thickBot="1" x14ac:dyDescent="0.25">
      <c r="A2" s="385" t="s">
        <v>138</v>
      </c>
      <c r="B2" s="386"/>
      <c r="C2" s="386"/>
      <c r="D2" s="387"/>
    </row>
    <row r="3" spans="1:4" ht="15.75" x14ac:dyDescent="0.2">
      <c r="A3" s="111" t="s">
        <v>139</v>
      </c>
      <c r="B3" s="112" t="s">
        <v>140</v>
      </c>
      <c r="C3" s="113" t="s">
        <v>141</v>
      </c>
      <c r="D3" s="114"/>
    </row>
    <row r="4" spans="1:4" ht="15.75" x14ac:dyDescent="0.2">
      <c r="A4" s="115"/>
      <c r="B4" s="116" t="s">
        <v>142</v>
      </c>
      <c r="C4" s="117" t="s">
        <v>143</v>
      </c>
      <c r="D4" s="118">
        <v>4.6730000000000001E-2</v>
      </c>
    </row>
    <row r="5" spans="1:4" ht="15.75" x14ac:dyDescent="0.2">
      <c r="A5" s="115"/>
      <c r="B5" s="116" t="s">
        <v>144</v>
      </c>
      <c r="C5" s="117" t="s">
        <v>145</v>
      </c>
      <c r="D5" s="118">
        <v>7.4000000000000003E-3</v>
      </c>
    </row>
    <row r="6" spans="1:4" ht="15.75" x14ac:dyDescent="0.2">
      <c r="A6" s="115"/>
      <c r="B6" s="116" t="s">
        <v>146</v>
      </c>
      <c r="C6" s="117" t="s">
        <v>147</v>
      </c>
      <c r="D6" s="118">
        <v>9.7000000000000003E-3</v>
      </c>
    </row>
    <row r="7" spans="1:4" ht="15.75" x14ac:dyDescent="0.2">
      <c r="A7" s="115"/>
      <c r="B7" s="116"/>
      <c r="C7" s="117"/>
      <c r="D7" s="118"/>
    </row>
    <row r="8" spans="1:4" ht="15.75" x14ac:dyDescent="0.2">
      <c r="A8" s="119"/>
      <c r="B8" s="120"/>
      <c r="C8" s="121" t="s">
        <v>148</v>
      </c>
      <c r="D8" s="122">
        <f>SUM(D4:D7)</f>
        <v>6.3829999999999998E-2</v>
      </c>
    </row>
    <row r="9" spans="1:4" ht="15.75" x14ac:dyDescent="0.2">
      <c r="A9" s="123"/>
      <c r="B9" s="124"/>
      <c r="C9" s="125"/>
      <c r="D9" s="126"/>
    </row>
    <row r="10" spans="1:4" ht="15.75" x14ac:dyDescent="0.2">
      <c r="A10" s="127" t="s">
        <v>139</v>
      </c>
      <c r="B10" s="128" t="s">
        <v>149</v>
      </c>
      <c r="C10" s="129" t="s">
        <v>150</v>
      </c>
      <c r="D10" s="130"/>
    </row>
    <row r="11" spans="1:4" ht="15.75" x14ac:dyDescent="0.2">
      <c r="A11" s="131"/>
      <c r="B11" s="132" t="s">
        <v>151</v>
      </c>
      <c r="C11" s="117" t="s">
        <v>152</v>
      </c>
      <c r="D11" s="118">
        <v>7.5300000000000006E-2</v>
      </c>
    </row>
    <row r="12" spans="1:4" ht="15.75" x14ac:dyDescent="0.2">
      <c r="A12" s="119"/>
      <c r="B12" s="133"/>
      <c r="C12" s="134" t="s">
        <v>153</v>
      </c>
      <c r="D12" s="122">
        <v>7.5300000000000006E-2</v>
      </c>
    </row>
    <row r="13" spans="1:4" ht="15.75" x14ac:dyDescent="0.2">
      <c r="A13" s="123"/>
      <c r="B13" s="124"/>
      <c r="C13" s="125"/>
      <c r="D13" s="126"/>
    </row>
    <row r="14" spans="1:4" ht="15.75" x14ac:dyDescent="0.2">
      <c r="A14" s="127" t="s">
        <v>139</v>
      </c>
      <c r="B14" s="135" t="s">
        <v>154</v>
      </c>
      <c r="C14" s="136" t="s">
        <v>155</v>
      </c>
      <c r="D14" s="137"/>
    </row>
    <row r="15" spans="1:4" ht="15.75" x14ac:dyDescent="0.2">
      <c r="A15" s="131"/>
      <c r="B15" s="116" t="s">
        <v>156</v>
      </c>
      <c r="C15" s="138" t="s">
        <v>157</v>
      </c>
      <c r="D15" s="139">
        <v>6.4999999999999997E-3</v>
      </c>
    </row>
    <row r="16" spans="1:4" ht="15.75" x14ac:dyDescent="0.2">
      <c r="A16" s="131"/>
      <c r="B16" s="116" t="s">
        <v>158</v>
      </c>
      <c r="C16" s="138" t="s">
        <v>159</v>
      </c>
      <c r="D16" s="139">
        <v>0.03</v>
      </c>
    </row>
    <row r="17" spans="1:4" ht="15.75" x14ac:dyDescent="0.2">
      <c r="A17" s="131"/>
      <c r="B17" s="116" t="s">
        <v>160</v>
      </c>
      <c r="C17" s="138" t="s">
        <v>161</v>
      </c>
      <c r="D17" s="139">
        <v>2.1000000000000001E-2</v>
      </c>
    </row>
    <row r="18" spans="1:4" ht="15.75" x14ac:dyDescent="0.2">
      <c r="A18" s="170"/>
      <c r="B18" s="171" t="s">
        <v>173</v>
      </c>
      <c r="C18" s="172" t="s">
        <v>175</v>
      </c>
      <c r="D18" s="173">
        <v>4.4999999999999998E-2</v>
      </c>
    </row>
    <row r="19" spans="1:4" ht="15.75" x14ac:dyDescent="0.2">
      <c r="A19" s="119"/>
      <c r="B19" s="140"/>
      <c r="C19" s="134" t="s">
        <v>162</v>
      </c>
      <c r="D19" s="122">
        <f>SUM(D15:D17)</f>
        <v>5.7499999999999996E-2</v>
      </c>
    </row>
    <row r="20" spans="1:4" ht="15.75" x14ac:dyDescent="0.2">
      <c r="A20" s="123"/>
      <c r="B20" s="141"/>
      <c r="C20" s="124"/>
      <c r="D20" s="142"/>
    </row>
    <row r="21" spans="1:4" ht="15.75" x14ac:dyDescent="0.2">
      <c r="A21" s="127" t="s">
        <v>139</v>
      </c>
      <c r="B21" s="135" t="s">
        <v>163</v>
      </c>
      <c r="C21" s="136" t="s">
        <v>164</v>
      </c>
      <c r="D21" s="137"/>
    </row>
    <row r="22" spans="1:4" ht="15.75" x14ac:dyDescent="0.2">
      <c r="A22" s="143"/>
      <c r="B22" s="144"/>
      <c r="C22" s="145" t="s">
        <v>164</v>
      </c>
      <c r="D22" s="146">
        <v>7.6E-3</v>
      </c>
    </row>
    <row r="23" spans="1:4" ht="15.75" x14ac:dyDescent="0.2">
      <c r="A23" s="147"/>
      <c r="B23" s="121"/>
      <c r="C23" s="134" t="s">
        <v>165</v>
      </c>
      <c r="D23" s="148">
        <v>7.6E-3</v>
      </c>
    </row>
    <row r="24" spans="1:4" ht="15.75" x14ac:dyDescent="0.2">
      <c r="A24" s="149"/>
      <c r="B24" s="150"/>
      <c r="C24" s="151"/>
      <c r="D24" s="152"/>
    </row>
    <row r="25" spans="1:4" ht="15" x14ac:dyDescent="0.2">
      <c r="A25" s="372" t="s">
        <v>166</v>
      </c>
      <c r="B25" s="373"/>
      <c r="C25" s="373"/>
      <c r="D25" s="374"/>
    </row>
    <row r="26" spans="1:4" ht="15.75" x14ac:dyDescent="0.2">
      <c r="A26" s="375" t="s">
        <v>167</v>
      </c>
      <c r="B26" s="376"/>
      <c r="C26" s="376"/>
      <c r="D26" s="153">
        <f>ROUND((((1+D4+D5+D6)*(1+D23)*(1+D12))/(1-(D19+D18))-1),4)</f>
        <v>0.2843</v>
      </c>
    </row>
    <row r="27" spans="1:4" ht="15.75" x14ac:dyDescent="0.2">
      <c r="A27" s="154"/>
      <c r="B27" s="150"/>
      <c r="C27" s="155" t="s">
        <v>174</v>
      </c>
      <c r="D27" s="156"/>
    </row>
    <row r="28" spans="1:4" ht="15.75" x14ac:dyDescent="0.2">
      <c r="A28" s="154"/>
      <c r="B28" s="150"/>
      <c r="C28" s="155"/>
      <c r="D28" s="156"/>
    </row>
    <row r="29" spans="1:4" ht="15.75" x14ac:dyDescent="0.2">
      <c r="A29" s="154"/>
      <c r="B29" s="150"/>
      <c r="C29" s="155"/>
      <c r="D29" s="156"/>
    </row>
    <row r="30" spans="1:4" ht="15.75" x14ac:dyDescent="0.2">
      <c r="A30" s="154"/>
      <c r="B30" s="150"/>
      <c r="C30" s="155"/>
      <c r="D30" s="156"/>
    </row>
    <row r="31" spans="1:4" ht="27.75" customHeight="1" x14ac:dyDescent="0.2">
      <c r="A31" s="157"/>
      <c r="B31" s="158"/>
      <c r="C31" s="159" t="s">
        <v>168</v>
      </c>
      <c r="D31" s="160"/>
    </row>
    <row r="32" spans="1:4" x14ac:dyDescent="0.2">
      <c r="A32" s="157"/>
      <c r="B32" s="158"/>
      <c r="C32" s="161" t="s">
        <v>203</v>
      </c>
      <c r="D32" s="160"/>
    </row>
    <row r="33" spans="1:4" x14ac:dyDescent="0.2">
      <c r="A33" s="157"/>
      <c r="B33" s="158"/>
      <c r="C33" s="162" t="s">
        <v>169</v>
      </c>
      <c r="D33" s="160"/>
    </row>
    <row r="34" spans="1:4" ht="13.5" thickBot="1" x14ac:dyDescent="0.25">
      <c r="A34" s="163"/>
      <c r="B34" s="164"/>
      <c r="C34" s="165" t="s">
        <v>204</v>
      </c>
      <c r="D34" s="166"/>
    </row>
  </sheetData>
  <mergeCells count="4">
    <mergeCell ref="A1:D1"/>
    <mergeCell ref="A2:D2"/>
    <mergeCell ref="A25:D25"/>
    <mergeCell ref="A26:C26"/>
  </mergeCells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topLeftCell="A4" zoomScale="98" zoomScaleNormal="98" workbookViewId="0">
      <selection activeCell="C9" sqref="C9"/>
    </sheetView>
  </sheetViews>
  <sheetFormatPr defaultRowHeight="12.75" x14ac:dyDescent="0.2"/>
  <cols>
    <col min="1" max="1" width="37.42578125" customWidth="1"/>
    <col min="2" max="3" width="16" customWidth="1"/>
    <col min="4" max="6" width="13.7109375" customWidth="1"/>
    <col min="7" max="7" width="14.5703125" customWidth="1"/>
    <col min="8" max="8" width="15.28515625" customWidth="1"/>
    <col min="9" max="16" width="15.5703125" customWidth="1"/>
  </cols>
  <sheetData>
    <row r="1" spans="1:23" ht="16.5" customHeight="1" x14ac:dyDescent="0.4">
      <c r="A1" s="1" t="s">
        <v>63</v>
      </c>
      <c r="B1" s="1"/>
      <c r="C1" s="1"/>
      <c r="D1" s="29"/>
      <c r="F1" s="30"/>
      <c r="G1" s="30"/>
      <c r="H1" s="27"/>
      <c r="I1" s="27"/>
      <c r="J1" s="27"/>
      <c r="K1" s="27"/>
      <c r="L1" s="27"/>
      <c r="M1" s="27"/>
      <c r="N1" s="27"/>
      <c r="O1" s="27"/>
      <c r="P1" s="27"/>
    </row>
    <row r="2" spans="1:23" ht="16.5" customHeight="1" x14ac:dyDescent="0.4">
      <c r="A2" s="1" t="s">
        <v>92</v>
      </c>
      <c r="B2" s="1"/>
      <c r="C2" s="1"/>
      <c r="D2" s="29"/>
      <c r="E2" s="1"/>
      <c r="F2" s="30"/>
      <c r="G2" s="30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</row>
    <row r="3" spans="1:23" ht="16.5" customHeight="1" x14ac:dyDescent="0.4">
      <c r="A3" s="22" t="s">
        <v>94</v>
      </c>
      <c r="B3" s="22"/>
      <c r="C3" s="22"/>
      <c r="D3" s="29"/>
      <c r="E3" s="1"/>
      <c r="F3" s="30"/>
      <c r="G3" s="30"/>
      <c r="H3" s="27"/>
      <c r="I3" s="27"/>
      <c r="J3" s="27"/>
      <c r="K3" s="27"/>
      <c r="L3" s="27"/>
      <c r="M3" s="27"/>
      <c r="N3" s="27"/>
      <c r="O3" s="27"/>
      <c r="P3" s="27"/>
      <c r="Q3" s="12"/>
      <c r="R3" s="12"/>
    </row>
    <row r="4" spans="1:23" ht="16.5" customHeight="1" x14ac:dyDescent="0.4">
      <c r="A4" s="22" t="s">
        <v>95</v>
      </c>
      <c r="B4" s="22"/>
      <c r="C4" s="22"/>
      <c r="D4" s="29"/>
      <c r="E4" s="1"/>
      <c r="F4" s="30"/>
      <c r="G4" s="30"/>
      <c r="H4" s="27"/>
      <c r="I4" s="27"/>
      <c r="J4" s="27"/>
      <c r="K4" s="27"/>
      <c r="L4" s="27"/>
      <c r="M4" s="27"/>
      <c r="N4" s="27"/>
      <c r="O4" s="27"/>
      <c r="P4" s="27"/>
      <c r="Q4" s="12"/>
      <c r="R4" s="12"/>
    </row>
    <row r="5" spans="1:23" ht="16.5" customHeight="1" x14ac:dyDescent="0.4">
      <c r="A5" s="22" t="s">
        <v>93</v>
      </c>
      <c r="B5" s="22"/>
      <c r="C5" s="22"/>
      <c r="D5" s="31"/>
      <c r="E5" s="32"/>
      <c r="F5" s="33"/>
      <c r="G5" s="33"/>
      <c r="H5" s="28"/>
      <c r="I5" s="28"/>
      <c r="J5" s="28"/>
      <c r="K5" s="28"/>
      <c r="L5" s="28"/>
      <c r="M5" s="28"/>
      <c r="N5" s="28"/>
      <c r="O5" s="28"/>
      <c r="P5" s="28"/>
      <c r="Q5" s="12"/>
      <c r="R5" s="12"/>
    </row>
    <row r="6" spans="1:23" ht="30.75" customHeight="1" x14ac:dyDescent="0.25">
      <c r="A6" s="13" t="s">
        <v>22</v>
      </c>
      <c r="B6" s="14"/>
      <c r="C6" s="14"/>
      <c r="D6" s="39">
        <v>30</v>
      </c>
      <c r="E6" s="39">
        <v>60</v>
      </c>
      <c r="F6" s="39">
        <v>90</v>
      </c>
      <c r="G6" s="39">
        <v>120</v>
      </c>
      <c r="H6" s="39">
        <v>150</v>
      </c>
      <c r="I6" s="39">
        <v>180</v>
      </c>
      <c r="J6" s="39">
        <v>210</v>
      </c>
      <c r="K6" s="39">
        <v>240</v>
      </c>
      <c r="L6" s="39">
        <v>270</v>
      </c>
      <c r="M6" s="39">
        <v>300</v>
      </c>
      <c r="N6" s="39">
        <v>330</v>
      </c>
      <c r="O6" s="39">
        <v>360</v>
      </c>
      <c r="P6" s="39"/>
    </row>
    <row r="7" spans="1:23" ht="6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6"/>
    </row>
    <row r="8" spans="1:23" ht="30.75" customHeight="1" x14ac:dyDescent="0.25">
      <c r="A8" s="13" t="s">
        <v>23</v>
      </c>
      <c r="B8" s="15" t="s">
        <v>24</v>
      </c>
      <c r="C8" s="14" t="s">
        <v>25</v>
      </c>
      <c r="D8" s="15" t="s">
        <v>26</v>
      </c>
      <c r="E8" s="15" t="s">
        <v>27</v>
      </c>
      <c r="F8" s="15" t="s">
        <v>28</v>
      </c>
      <c r="G8" s="15" t="s">
        <v>29</v>
      </c>
      <c r="H8" s="15" t="s">
        <v>30</v>
      </c>
      <c r="I8" s="15" t="s">
        <v>61</v>
      </c>
      <c r="J8" s="15" t="s">
        <v>64</v>
      </c>
      <c r="K8" s="15" t="s">
        <v>65</v>
      </c>
      <c r="L8" s="15" t="s">
        <v>66</v>
      </c>
      <c r="M8" s="15" t="s">
        <v>67</v>
      </c>
      <c r="N8" s="15" t="s">
        <v>68</v>
      </c>
      <c r="O8" s="15" t="s">
        <v>69</v>
      </c>
      <c r="P8" s="17" t="s">
        <v>14</v>
      </c>
    </row>
    <row r="9" spans="1:23" ht="30.75" customHeight="1" x14ac:dyDescent="0.2">
      <c r="A9" s="55" t="s">
        <v>79</v>
      </c>
      <c r="B9" s="18" t="e">
        <f t="shared" ref="B9:B14" si="0">C9/$C$13</f>
        <v>#REF!</v>
      </c>
      <c r="C9" s="19" t="e">
        <f>'PLANILHA OFICIAL '!#REF!</f>
        <v>#REF!</v>
      </c>
      <c r="D9" s="19" t="e">
        <f>0.5*C9</f>
        <v>#REF!</v>
      </c>
      <c r="E9" s="19" t="e">
        <f>(C9-D9)/11</f>
        <v>#REF!</v>
      </c>
      <c r="F9" s="19" t="e">
        <f>E9</f>
        <v>#REF!</v>
      </c>
      <c r="G9" s="19" t="e">
        <f t="shared" ref="G9:O9" si="1">F9</f>
        <v>#REF!</v>
      </c>
      <c r="H9" s="19" t="e">
        <f t="shared" si="1"/>
        <v>#REF!</v>
      </c>
      <c r="I9" s="19" t="e">
        <f t="shared" si="1"/>
        <v>#REF!</v>
      </c>
      <c r="J9" s="19" t="e">
        <f t="shared" si="1"/>
        <v>#REF!</v>
      </c>
      <c r="K9" s="19" t="e">
        <f t="shared" si="1"/>
        <v>#REF!</v>
      </c>
      <c r="L9" s="19" t="e">
        <f t="shared" si="1"/>
        <v>#REF!</v>
      </c>
      <c r="M9" s="19" t="e">
        <f t="shared" si="1"/>
        <v>#REF!</v>
      </c>
      <c r="N9" s="19" t="e">
        <f t="shared" si="1"/>
        <v>#REF!</v>
      </c>
      <c r="O9" s="19" t="e">
        <f t="shared" si="1"/>
        <v>#REF!</v>
      </c>
      <c r="P9" s="19" t="e">
        <f>SUM(D9:O9)</f>
        <v>#REF!</v>
      </c>
    </row>
    <row r="10" spans="1:23" ht="30.75" customHeight="1" x14ac:dyDescent="0.2">
      <c r="A10" s="56" t="str">
        <f>'PLANILHA OFICIAL '!C21</f>
        <v>TERRAPLENAGEM</v>
      </c>
      <c r="B10" s="18" t="e">
        <f t="shared" si="0"/>
        <v>#REF!</v>
      </c>
      <c r="C10" s="19">
        <f>'PLANILHA OFICIAL '!J21</f>
        <v>0</v>
      </c>
      <c r="D10" s="19">
        <f>0.1*C10</f>
        <v>0</v>
      </c>
      <c r="E10" s="19">
        <f>0.2*C10</f>
        <v>0</v>
      </c>
      <c r="F10" s="19">
        <f>E10</f>
        <v>0</v>
      </c>
      <c r="G10" s="19">
        <f>F10</f>
        <v>0</v>
      </c>
      <c r="H10" s="19">
        <f>G10</f>
        <v>0</v>
      </c>
      <c r="I10" s="19">
        <f>0.1*C10</f>
        <v>0</v>
      </c>
      <c r="J10" s="19"/>
      <c r="K10" s="19"/>
      <c r="L10" s="19"/>
      <c r="M10" s="19"/>
      <c r="N10" s="19"/>
      <c r="O10" s="19"/>
      <c r="P10" s="19">
        <f>SUM(D10:O10)</f>
        <v>0</v>
      </c>
    </row>
    <row r="11" spans="1:23" ht="30.75" customHeight="1" x14ac:dyDescent="0.2">
      <c r="A11" s="56" t="s">
        <v>9</v>
      </c>
      <c r="B11" s="18" t="e">
        <f t="shared" si="0"/>
        <v>#REF!</v>
      </c>
      <c r="C11" s="19">
        <f>'PLANILHA OFICIAL '!J28</f>
        <v>0</v>
      </c>
      <c r="D11" s="19"/>
      <c r="E11" s="19">
        <f>0.1*C11</f>
        <v>0</v>
      </c>
      <c r="F11" s="19">
        <f>E11</f>
        <v>0</v>
      </c>
      <c r="G11" s="19">
        <f>F11</f>
        <v>0</v>
      </c>
      <c r="H11" s="19">
        <f>0.3*C11</f>
        <v>0</v>
      </c>
      <c r="I11" s="19">
        <f>0.1*C11</f>
        <v>0</v>
      </c>
      <c r="J11" s="19">
        <f>I11</f>
        <v>0</v>
      </c>
      <c r="K11" s="19">
        <f>J11</f>
        <v>0</v>
      </c>
      <c r="L11" s="19">
        <f>0.1*C11</f>
        <v>0</v>
      </c>
      <c r="M11" s="19"/>
      <c r="N11" s="19"/>
      <c r="O11" s="19"/>
      <c r="P11" s="19">
        <f>SUM(D11:O11)</f>
        <v>0</v>
      </c>
    </row>
    <row r="12" spans="1:23" ht="30.75" customHeight="1" x14ac:dyDescent="0.2">
      <c r="A12" s="55" t="s">
        <v>99</v>
      </c>
      <c r="B12" s="18" t="e">
        <f t="shared" si="0"/>
        <v>#REF!</v>
      </c>
      <c r="C12" s="19">
        <f>'PLANILHA OFICIAL '!J41</f>
        <v>0</v>
      </c>
      <c r="D12" s="19"/>
      <c r="E12" s="19">
        <f>0.05*C12</f>
        <v>0</v>
      </c>
      <c r="F12" s="19">
        <f>E12</f>
        <v>0</v>
      </c>
      <c r="G12" s="19">
        <f t="shared" ref="G12:O12" si="2">F12</f>
        <v>0</v>
      </c>
      <c r="H12" s="19">
        <f>0.1*C12</f>
        <v>0</v>
      </c>
      <c r="I12" s="19">
        <f>0.1*C12</f>
        <v>0</v>
      </c>
      <c r="J12" s="19">
        <f>0.15*C12</f>
        <v>0</v>
      </c>
      <c r="K12" s="19">
        <f>I12</f>
        <v>0</v>
      </c>
      <c r="L12" s="19">
        <f t="shared" si="2"/>
        <v>0</v>
      </c>
      <c r="M12" s="19">
        <f t="shared" si="2"/>
        <v>0</v>
      </c>
      <c r="N12" s="19">
        <f t="shared" si="2"/>
        <v>0</v>
      </c>
      <c r="O12" s="19">
        <f t="shared" si="2"/>
        <v>0</v>
      </c>
      <c r="P12" s="19">
        <f>SUM(D12:O12)</f>
        <v>0</v>
      </c>
    </row>
    <row r="13" spans="1:23" ht="30.75" customHeight="1" x14ac:dyDescent="0.2">
      <c r="A13" s="56" t="s">
        <v>31</v>
      </c>
      <c r="B13" s="18" t="e">
        <f t="shared" si="0"/>
        <v>#REF!</v>
      </c>
      <c r="C13" s="19" t="e">
        <f t="shared" ref="C13:O13" si="3">SUM(C9:C12)</f>
        <v>#REF!</v>
      </c>
      <c r="D13" s="19" t="e">
        <f t="shared" si="3"/>
        <v>#REF!</v>
      </c>
      <c r="E13" s="19" t="e">
        <f t="shared" si="3"/>
        <v>#REF!</v>
      </c>
      <c r="F13" s="19" t="e">
        <f t="shared" si="3"/>
        <v>#REF!</v>
      </c>
      <c r="G13" s="19" t="e">
        <f t="shared" si="3"/>
        <v>#REF!</v>
      </c>
      <c r="H13" s="19" t="e">
        <f t="shared" si="3"/>
        <v>#REF!</v>
      </c>
      <c r="I13" s="19" t="e">
        <f t="shared" si="3"/>
        <v>#REF!</v>
      </c>
      <c r="J13" s="19" t="e">
        <f t="shared" si="3"/>
        <v>#REF!</v>
      </c>
      <c r="K13" s="19" t="e">
        <f t="shared" si="3"/>
        <v>#REF!</v>
      </c>
      <c r="L13" s="19" t="e">
        <f t="shared" si="3"/>
        <v>#REF!</v>
      </c>
      <c r="M13" s="19" t="e">
        <f t="shared" si="3"/>
        <v>#REF!</v>
      </c>
      <c r="N13" s="19" t="e">
        <f t="shared" si="3"/>
        <v>#REF!</v>
      </c>
      <c r="O13" s="19" t="e">
        <f t="shared" si="3"/>
        <v>#REF!</v>
      </c>
      <c r="P13" s="19" t="e">
        <f>SUM(D13:O13)</f>
        <v>#REF!</v>
      </c>
    </row>
    <row r="14" spans="1:23" ht="30.75" customHeight="1" x14ac:dyDescent="0.2">
      <c r="A14" s="56" t="s">
        <v>32</v>
      </c>
      <c r="B14" s="18" t="e">
        <f t="shared" si="0"/>
        <v>#REF!</v>
      </c>
      <c r="C14" s="19" t="e">
        <f>C13</f>
        <v>#REF!</v>
      </c>
      <c r="D14" s="19" t="e">
        <f>D13</f>
        <v>#REF!</v>
      </c>
      <c r="E14" s="19" t="e">
        <f t="shared" ref="E14:O14" si="4">D14+E13</f>
        <v>#REF!</v>
      </c>
      <c r="F14" s="19" t="e">
        <f t="shared" si="4"/>
        <v>#REF!</v>
      </c>
      <c r="G14" s="19" t="e">
        <f t="shared" si="4"/>
        <v>#REF!</v>
      </c>
      <c r="H14" s="19" t="e">
        <f t="shared" si="4"/>
        <v>#REF!</v>
      </c>
      <c r="I14" s="19" t="e">
        <f t="shared" si="4"/>
        <v>#REF!</v>
      </c>
      <c r="J14" s="19" t="e">
        <f t="shared" si="4"/>
        <v>#REF!</v>
      </c>
      <c r="K14" s="19" t="e">
        <f t="shared" si="4"/>
        <v>#REF!</v>
      </c>
      <c r="L14" s="19" t="e">
        <f t="shared" si="4"/>
        <v>#REF!</v>
      </c>
      <c r="M14" s="19" t="e">
        <f t="shared" si="4"/>
        <v>#REF!</v>
      </c>
      <c r="N14" s="19" t="e">
        <f t="shared" si="4"/>
        <v>#REF!</v>
      </c>
      <c r="O14" s="19" t="e">
        <f t="shared" si="4"/>
        <v>#REF!</v>
      </c>
      <c r="P14" s="19"/>
    </row>
    <row r="15" spans="1:23" ht="30.75" customHeight="1" x14ac:dyDescent="0.2">
      <c r="A15" s="56" t="s">
        <v>33</v>
      </c>
      <c r="B15" s="14"/>
      <c r="C15" s="18"/>
      <c r="D15" s="18" t="e">
        <f>D13/$C$13</f>
        <v>#REF!</v>
      </c>
      <c r="E15" s="18" t="e">
        <f>E13/$C$13</f>
        <v>#REF!</v>
      </c>
      <c r="F15" s="18" t="e">
        <f>F13/$C$13</f>
        <v>#REF!</v>
      </c>
      <c r="G15" s="18" t="e">
        <f>G13/$C$13</f>
        <v>#REF!</v>
      </c>
      <c r="H15" s="18" t="e">
        <f>H13/$C$13</f>
        <v>#REF!</v>
      </c>
      <c r="I15" s="18" t="e">
        <f t="shared" ref="I15:O15" si="5">I13/$C$13</f>
        <v>#REF!</v>
      </c>
      <c r="J15" s="18" t="e">
        <f t="shared" si="5"/>
        <v>#REF!</v>
      </c>
      <c r="K15" s="18" t="e">
        <f t="shared" si="5"/>
        <v>#REF!</v>
      </c>
      <c r="L15" s="18" t="e">
        <f t="shared" si="5"/>
        <v>#REF!</v>
      </c>
      <c r="M15" s="18" t="e">
        <f t="shared" si="5"/>
        <v>#REF!</v>
      </c>
      <c r="N15" s="18" t="e">
        <f t="shared" si="5"/>
        <v>#REF!</v>
      </c>
      <c r="O15" s="18" t="e">
        <f t="shared" si="5"/>
        <v>#REF!</v>
      </c>
      <c r="P15" s="18"/>
      <c r="Q15" s="20"/>
      <c r="R15" s="20"/>
      <c r="S15" s="20"/>
      <c r="T15" s="20"/>
      <c r="U15" s="20"/>
      <c r="V15" s="20"/>
      <c r="W15" s="20"/>
    </row>
    <row r="16" spans="1:23" ht="30.75" customHeight="1" x14ac:dyDescent="0.2">
      <c r="A16" s="14" t="s">
        <v>34</v>
      </c>
      <c r="B16" s="14"/>
      <c r="C16" s="21"/>
      <c r="D16" s="18" t="e">
        <f>D15</f>
        <v>#REF!</v>
      </c>
      <c r="E16" s="18" t="e">
        <f t="shared" ref="E16:O16" si="6">D16+E15</f>
        <v>#REF!</v>
      </c>
      <c r="F16" s="18" t="e">
        <f t="shared" si="6"/>
        <v>#REF!</v>
      </c>
      <c r="G16" s="18" t="e">
        <f t="shared" si="6"/>
        <v>#REF!</v>
      </c>
      <c r="H16" s="18" t="e">
        <f t="shared" si="6"/>
        <v>#REF!</v>
      </c>
      <c r="I16" s="18" t="e">
        <f t="shared" si="6"/>
        <v>#REF!</v>
      </c>
      <c r="J16" s="18" t="e">
        <f t="shared" si="6"/>
        <v>#REF!</v>
      </c>
      <c r="K16" s="18" t="e">
        <f t="shared" si="6"/>
        <v>#REF!</v>
      </c>
      <c r="L16" s="18" t="e">
        <f t="shared" si="6"/>
        <v>#REF!</v>
      </c>
      <c r="M16" s="18" t="e">
        <f t="shared" si="6"/>
        <v>#REF!</v>
      </c>
      <c r="N16" s="18" t="e">
        <f t="shared" si="6"/>
        <v>#REF!</v>
      </c>
      <c r="O16" s="18" t="e">
        <f t="shared" si="6"/>
        <v>#REF!</v>
      </c>
      <c r="P16" s="18"/>
    </row>
    <row r="17" spans="7:16" x14ac:dyDescent="0.2">
      <c r="P17" s="20"/>
    </row>
    <row r="19" spans="7:16" ht="15.75" x14ac:dyDescent="0.25">
      <c r="G19" s="10"/>
    </row>
    <row r="20" spans="7:16" ht="15" x14ac:dyDescent="0.2">
      <c r="G20" s="1"/>
      <c r="H20" s="11"/>
      <c r="I20" s="11"/>
      <c r="J20" s="11"/>
      <c r="K20" s="11"/>
      <c r="L20" s="11"/>
      <c r="M20" s="11"/>
      <c r="N20" s="11"/>
      <c r="O20" s="11"/>
      <c r="P20" s="12"/>
    </row>
    <row r="21" spans="7:16" ht="15" x14ac:dyDescent="0.2">
      <c r="G21" s="1"/>
      <c r="H21" s="11"/>
      <c r="I21" s="11"/>
      <c r="J21" s="11"/>
      <c r="K21" s="11"/>
      <c r="L21" s="11"/>
      <c r="M21" s="11"/>
      <c r="N21" s="11"/>
      <c r="O21" s="11"/>
      <c r="P21" s="12"/>
    </row>
    <row r="22" spans="7:16" ht="15" x14ac:dyDescent="0.2">
      <c r="G22" s="1"/>
      <c r="H22" s="11"/>
      <c r="I22" s="11"/>
      <c r="J22" s="11"/>
      <c r="K22" s="11"/>
      <c r="L22" s="11"/>
      <c r="M22" s="11"/>
      <c r="N22" s="11"/>
      <c r="O22" s="11"/>
      <c r="P22" s="12"/>
    </row>
    <row r="23" spans="7:16" ht="15" x14ac:dyDescent="0.2">
      <c r="G23" s="1"/>
      <c r="H23" s="11"/>
      <c r="I23" s="11"/>
      <c r="J23" s="11"/>
      <c r="K23" s="11"/>
      <c r="L23" s="11"/>
      <c r="M23" s="11"/>
      <c r="N23" s="11"/>
      <c r="O23" s="11"/>
      <c r="P23" s="12"/>
    </row>
    <row r="24" spans="7:16" ht="15" x14ac:dyDescent="0.2">
      <c r="G24" s="1"/>
      <c r="H24" s="11"/>
      <c r="I24" s="11"/>
      <c r="J24" s="11"/>
      <c r="K24" s="11"/>
      <c r="L24" s="11"/>
      <c r="M24" s="11"/>
      <c r="N24" s="11"/>
      <c r="O24" s="11"/>
      <c r="P24" s="12"/>
    </row>
    <row r="25" spans="7:16" ht="15" x14ac:dyDescent="0.2">
      <c r="G25" s="1"/>
      <c r="H25" s="11"/>
      <c r="I25" s="11"/>
      <c r="J25" s="11"/>
      <c r="K25" s="11"/>
      <c r="L25" s="11"/>
      <c r="M25" s="11"/>
      <c r="N25" s="11"/>
      <c r="O25" s="11"/>
      <c r="P25" s="12"/>
    </row>
    <row r="26" spans="7:16" ht="15" x14ac:dyDescent="0.2">
      <c r="G26" s="1"/>
      <c r="H26" s="11"/>
      <c r="I26" s="11"/>
      <c r="J26" s="11"/>
      <c r="K26" s="11"/>
      <c r="L26" s="11"/>
      <c r="M26" s="11"/>
      <c r="N26" s="11"/>
      <c r="O26" s="11"/>
      <c r="P26" s="12"/>
    </row>
  </sheetData>
  <pageMargins left="0.51181102362204722" right="0.51181102362204722" top="1.1417322834645669" bottom="0.78740157480314965" header="0.74803149606299213" footer="0.31496062992125984"/>
  <pageSetup paperSize="9" scale="80" orientation="landscape" verticalDpi="0" r:id="rId1"/>
  <headerFooter>
    <oddHeader xml:space="preserve">&amp;C&amp;16CRONOGRAMA FÍSICO-FINANCEIRO </oddHeader>
    <oddFooter>Página &amp;P de &amp;N</oddFoot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/zw315oq3eoxsOdhLROdRja+SAw=</DigestValue>
    </Reference>
    <Reference URI="#idOfficeObject" Type="http://www.w3.org/2000/09/xmldsig#Object">
      <DigestMethod Algorithm="http://www.w3.org/2000/09/xmldsig#sha1"/>
      <DigestValue>xlRPEQCrXXD5lKOstz0FRfNdf4A=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RMq1dazuSkLD9BPmIjYCwtxhYKw=</DigestValue>
    </Reference>
  </SignedInfo>
  <SignatureValue>q1hencGPO8KGvdNL9k8KoouI4MvK6gmIrKwourwex72Oj7iBvwtZWtJa8yVJeGpIxKnq+PzlXY2h
zBCkdPH2vT+TuT6ao/2gaaOHMMgj6RI/HamUwe7kVqRUZT9vXvyOl7GROwknj7vGyeFRKxiKrLia
Z5xghgxCbgve0WvfY9xEzLlk8k74v+n7csW/KoYtorchJQiCtZ8lcyEliC5iX9v1PR80M4yqw87U
mLFBcfKHgx05FUyOuV9SxFygqInl8tEpyrHnc/zNtbDqdAHMWbM2E4xykGJUia7vJO8g24XE6TII
OXt8quldfv8DvYzizOzM5pAwZ0o0GRv+C6q2lw==</SignatureValue>
  <KeyInfo>
    <X509Data>
      <X509Certificate>MIIHWjCCBUKgAwIBAgIIR9k2gLrUJV0wDQYJKoZIhvcNAQELBQAwczELMAkGA1UEBhMCQlIxEzAR
BgNVBAoTCklDUC1CcmFzaWwxNjA0BgNVBAsTLVNlY3JldGFyaWEgZGEgUmVjZWl0YSBGZWRlcmFs
IGRvIEJyYXNpbCAtIFJGQjEXMBUGA1UEAxMOQUMgTElOSyBSRkIgdjIwHhcNMjMwODIzMTgyOTQ3
WhcNMjQwODIzMTgyOTQ3WjCB5jELMAkGA1UEBhMCQlIxEzARBgNVBAoTCklDUC1CcmFzaWwxFzAV
BgNVBAsTDjE3MDI0NzYzMDAwMTc1MTYwNAYDVQQLEy1TZWNyZXRhcmlhIGRhIFJlY2VpdGEgRmVk
ZXJhbCBkbyBCcmFzaWwgLSBSRkIxETAPBgNVBAsTCGUtQ1BGIEExMRQwEgYDVQQLEwsoRU0gQlJB
TkNPKTETMBEGA1UECxMKcHJlc2VuY2lhbDEzMDEGA1UEAxMqRkVMSVBFIE1BVEhFVVMgTE9QRVMg
RE9TIEFOSk9TOjEzNjM1NDg3NjAwMIIBIjANBgkqhkiG9w0BAQEFAAOCAQ8AMIIBCgKCAQEA9YYJ
AX0A1dyvLT+CYrGkQ6jhXKnRslSnBX0vfsHZdWsNbHeF9e8X/sIlpfbWiWRcU+c8YI9nsU6A6bsi
A5jRPuVKsVbD0ljx8S7AhFNgAq7Dy09JnCww0Cy+Jrtsaal1yxWj69LhLAE9e36R8Qnx5Bssgt5p
3KP8t7nLA/GrZ1De2o1EgowZPfywvdqOI6yvrNYLQf2z48K1Rad2sJybU83HTBdyJy6lIIVyaWVs
cQOiLWrYsuMZMnaRMNeFEWxbEsz9vqNAMJQesqXFGD6zSJbKxEV5AvNluW3DL+M0NxosttihV4vr
fNpG2GV3XA1tWN0BslMxQfKcUD6g1lfG+QIDAQABo4ICfDCCAngwHwYDVR0jBBgwFoAUDd/WR/QT
TuUiWDIsZqbnLuRXvAIwDgYDVR0PAQH/BAQDAgXgMGwGA1UdIARlMGMwYQYGYEwBAgE7MFcwVQYI
KwYBBQUHAgEWSWh0dHA6Ly9yZXBvc2l0b3Jpby5saW5rY2VydGlmaWNhY2FvLmNvbS5ici9hYy1s
aW5rcmZiL2FjLWxpbmstcmZiLWRwYy5wZGYwgbAGA1UdHwSBqDCBpTBQoE6gTIZKaHR0cDovL3Jl
cG9zaXRvcmlvLmxpbmtjZXJ0aWZpY2FjYW8uY29tLmJyL2FjLWxpbmtyZmIvbGNyLWFjLWxpbmty
ZmJ2NS5jcmwwUaBPoE2GS2h0dHA6Ly9yZXBvc2l0b3JpbzIubGlua2NlcnRpZmljYWNhby5jb20u
YnIvYWMtbGlua3JmYi9sY3ItYWMtbGlua3JmYnY1LmNybDBiBggrBgEFBQcBAQRWMFQwUgYIKwYB
BQUHMAKGRmh0dHA6Ly9yZXBvc2l0b3Jpby5saW5rY2VydGlmaWNhY2FvLmNvbS5ici9hYy1saW5r
cmZiL2FjLWxpbmtyZmJ2NS5wN2IwgZUGA1UdEQSBjTCBioEVTUFUSEVVU01UVlRAR01BSUwuQ09N
oDgGBWBMAQMBoC8TLTEwMDYxOTk2MTM2MzU0ODc2MDAwMDAwMDAwMDAwMDAwMDAwMDAwMDAwMDAw
MKAeBgVgTAEDBaAVExMwMDAwMDAwMDAwMDAwMDAwMDAwoBcGBWBMAQMGoA4TDDAwMDAwMDAwMDAw
MDAdBgNVHSUEFjAUBggrBgEFBQcDAgYIKwYBBQUHAwQwCQYDVR0TBAIwADANBgkqhkiG9w0BAQsF
AAOCAgEAekSzfDTnUnTWfahpnzmRkZJKIzD6O/LizCq/OaURWrIwmfyEziFByUDKfti4hzvvrxav
TamQcmB0Sc+3MrPZV6nf6LpSORohyMnubXe4SFb0Vbx5ZV1158IXadwK7/8bgjzL3/7TYjUUyCLp
iBXT1h8nDRN6rdBBFGeWTxYEJckRjJbsfqPGkJEtyyrVHpTT+fxDm8YxhWyWjjlxUHS45chEX3X7
NM/dAs7jX8tHIyXGatVKQbQfDXjjIymcbkIz2pk23WmoB+aOPNMng4dlSrdNhdrfxVZYfn1/SYbk
5LV7rgqyPz3D6VcCtfoo/yAQXqwEgf1Q6AuDy9TCxvv/V9TrMI5ISNsoIJ2QEWKaEjcRPdQ6XPJG
XGbi+IjuSBrvumhGsZYoBVhNxYflnEx1LHL2hQxaXCuq1qtY04rBiqUZK+iCdzTtWVtVl+Q5ggoa
kfuR1BNOYYliK7JwGcMjZPcRq5lbl3toUA5y4rph8g+baCJ9O47z0SoOCLlsXpxAmkzj/0Hzmh4s
/fGmRr1Q9/3qfPVIIZ/DTXJDSeDdf2dbGWcZ7baTiBPysDBC7M3Se1dqpeMRzeQtV9zdKyfGsp+g
V8spODbRhXb/6v4ii1wrzjZz4IYOu6hqyNAznNYKJM/ogx5hC+4ZrvlPDyd+hKmINXSGKbIw0UCb
Or27FsU=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Vr7iACXdYAJbzp1kaddR7eGt5Tw=</DigestValue>
      </Reference>
      <Reference URI="/xl/worksheets/sheet5.xml?ContentType=application/vnd.openxmlformats-officedocument.spreadsheetml.worksheet+xml">
        <DigestMethod Algorithm="http://www.w3.org/2000/09/xmldsig#sha1"/>
        <DigestValue>t+79BV/CTerVngaa1RkVcvcl5xA=</DigestValue>
      </Reference>
      <Reference URI="/xl/drawings/drawing1.xml?ContentType=application/vnd.openxmlformats-officedocument.drawing+xml">
        <DigestMethod Algorithm="http://www.w3.org/2000/09/xmldsig#sha1"/>
        <DigestValue>78hX5VKFyntrOJHwbRMuvsqLtPU=</DigestValue>
      </Reference>
      <Reference URI="/xl/media/image1.emf?ContentType=image/x-emf">
        <DigestMethod Algorithm="http://www.w3.org/2000/09/xmldsig#sha1"/>
        <DigestValue>tdAc4wvrsvGQCT07U7M+0MzMBFk=</DigestValue>
      </Reference>
      <Reference URI="/xl/drawings/vmlDrawing2.vml?ContentType=application/vnd.openxmlformats-officedocument.vmlDrawing">
        <DigestMethod Algorithm="http://www.w3.org/2000/09/xmldsig#sha1"/>
        <DigestValue>ihNgsbHstOdLNFsEpj+gri+0X0M=</DigestValue>
      </Reference>
      <Reference URI="/xl/worksheets/sheet7.xml?ContentType=application/vnd.openxmlformats-officedocument.spreadsheetml.worksheet+xml">
        <DigestMethod Algorithm="http://www.w3.org/2000/09/xmldsig#sha1"/>
        <DigestValue>A+YZCvc8jZXJvKTwmeZclSA0HgI=</DigestValue>
      </Reference>
      <Reference URI="/xl/drawings/vmlDrawing1.vml?ContentType=application/vnd.openxmlformats-officedocument.vmlDrawing">
        <DigestMethod Algorithm="http://www.w3.org/2000/09/xmldsig#sha1"/>
        <DigestValue>1H4r08KURZZWa4V4aWrjkzSizCU=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amm+eZ46kbla5x2t1EFsDMHAiJk=</DigestValue>
      </Reference>
      <Reference URI="/xl/styles.xml?ContentType=application/vnd.openxmlformats-officedocument.spreadsheetml.styles+xml">
        <DigestMethod Algorithm="http://www.w3.org/2000/09/xmldsig#sha1"/>
        <DigestValue>RfoirtQBz+MxPM3PTvEb+mc9fak=</DigestValue>
      </Reference>
      <Reference URI="/xl/worksheets/sheet6.xml?ContentType=application/vnd.openxmlformats-officedocument.spreadsheetml.worksheet+xml">
        <DigestMethod Algorithm="http://www.w3.org/2000/09/xmldsig#sha1"/>
        <DigestValue>bVwhDSQvYsV7SeLuZK6TUVf+zN8=</DigestValue>
      </Reference>
      <Reference URI="/xl/embeddings/oleObject1.bin?ContentType=application/vnd.openxmlformats-officedocument.oleObject">
        <DigestMethod Algorithm="http://www.w3.org/2000/09/xmldsig#sha1"/>
        <DigestValue>8cYHnWaYGDCpdlIIVqt4/Tunqnk=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t71+vZj1s+FLRygP6twJuQy9DVw=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SRaLFg0WCmgeftQyZY/BhMcCdkg=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t71+vZj1s+FLRygP6twJuQy9DVw=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QGnm/Jt/MyIECaMOuqEh2rDX4ic=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t71+vZj1s+FLRygP6twJuQy9DVw=</DigestValue>
      </Reference>
      <Reference URI="/xl/comments1.xml?ContentType=application/vnd.openxmlformats-officedocument.spreadsheetml.comments+xml">
        <DigestMethod Algorithm="http://www.w3.org/2000/09/xmldsig#sha1"/>
        <DigestValue>f+pN6EwoG1lOd8F5fNnCKCm1c30=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QGnm/Jt/MyIECaMOuqEh2rDX4ic=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QGnm/Jt/MyIECaMOuqEh2rDX4ic=</DigestValue>
      </Reference>
      <Reference URI="/xl/theme/theme1.xml?ContentType=application/vnd.openxmlformats-officedocument.theme+xml">
        <DigestMethod Algorithm="http://www.w3.org/2000/09/xmldsig#sha1"/>
        <DigestValue>Lb/f0Cmp9GLF0P40X/UMkSHu/pE=</DigestValue>
      </Reference>
      <Reference URI="/xl/media/image2.png?ContentType=image/png">
        <DigestMethod Algorithm="http://www.w3.org/2000/09/xmldsig#sha1"/>
        <DigestValue>4ud/vVKL1oyHLQIPIpcHqbcYIiQ=</DigestValue>
      </Reference>
      <Reference URI="/xl/worksheets/sheet9.xml?ContentType=application/vnd.openxmlformats-officedocument.spreadsheetml.worksheet+xml">
        <DigestMethod Algorithm="http://www.w3.org/2000/09/xmldsig#sha1"/>
        <DigestValue>HlSUuVyzy0ZlqfyRxmPATWyk5ss=</DigestValue>
      </Reference>
      <Reference URI="/xl/media/image3.png?ContentType=image/png">
        <DigestMethod Algorithm="http://www.w3.org/2000/09/xmldsig#sha1"/>
        <DigestValue>0afw26mnvxiX0OBTOHhTOnRrkjU=</DigestValue>
      </Reference>
      <Reference URI="/xl/worksheets/sheet3.xml?ContentType=application/vnd.openxmlformats-officedocument.spreadsheetml.worksheet+xml">
        <DigestMethod Algorithm="http://www.w3.org/2000/09/xmldsig#sha1"/>
        <DigestValue>WIEyIDKGuVPgek5Gr2T2sGq1X04=</DigestValue>
      </Reference>
      <Reference URI="/xl/worksheets/sheet2.xml?ContentType=application/vnd.openxmlformats-officedocument.spreadsheetml.worksheet+xml">
        <DigestMethod Algorithm="http://www.w3.org/2000/09/xmldsig#sha1"/>
        <DigestValue>3wI/u9FVr58TqHqu71zzr7jdm5Y=</DigestValue>
      </Reference>
      <Reference URI="/xl/worksheets/sheet4.xml?ContentType=application/vnd.openxmlformats-officedocument.spreadsheetml.worksheet+xml">
        <DigestMethod Algorithm="http://www.w3.org/2000/09/xmldsig#sha1"/>
        <DigestValue>1cAqBVkzLcZDwwIDO0SuujtJs+U=</DigestValue>
      </Reference>
      <Reference URI="/xl/workbook.xml?ContentType=application/vnd.openxmlformats-officedocument.spreadsheetml.sheet.main+xml">
        <DigestMethod Algorithm="http://www.w3.org/2000/09/xmldsig#sha1"/>
        <DigestValue>cHwWUKO+403xIjOHqDhLicpWe24=</DigestValue>
      </Reference>
      <Reference URI="/xl/worksheets/sheet1.xml?ContentType=application/vnd.openxmlformats-officedocument.spreadsheetml.worksheet+xml">
        <DigestMethod Algorithm="http://www.w3.org/2000/09/xmldsig#sha1"/>
        <DigestValue>9EYreEsCWaVZHffhVy70Z3uCKkc=</DigestValue>
      </Reference>
      <Reference URI="/xl/drawings/drawing4.xml?ContentType=application/vnd.openxmlformats-officedocument.drawing+xml">
        <DigestMethod Algorithm="http://www.w3.org/2000/09/xmldsig#sha1"/>
        <DigestValue>TFUyQsFERBwVj+MUF0hSrSjAcj0=</DigestValue>
      </Reference>
      <Reference URI="/xl/drawings/drawing2.xml?ContentType=application/vnd.openxmlformats-officedocument.drawing+xml">
        <DigestMethod Algorithm="http://www.w3.org/2000/09/xmldsig#sha1"/>
        <DigestValue>fF64worhrh0y0vsC5O7897yHHiY=</DigestValue>
      </Reference>
      <Reference URI="/xl/drawings/drawing3.xml?ContentType=application/vnd.openxmlformats-officedocument.drawing+xml">
        <DigestMethod Algorithm="http://www.w3.org/2000/09/xmldsig#sha1"/>
        <DigestValue>7Wb6s17d/7MDcB+0E6FbEt6/N9g=</DigestValue>
      </Reference>
      <Reference URI="/xl/sharedStrings.xml?ContentType=application/vnd.openxmlformats-officedocument.spreadsheetml.sharedStrings+xml">
        <DigestMethod Algorithm="http://www.w3.org/2000/09/xmldsig#sha1"/>
        <DigestValue>HEV5fJ3d3URrV5ZWdLGFZ0bHCFE=</DigestValue>
      </Reference>
      <Reference URI="/xl/worksheets/sheet8.xml?ContentType=application/vnd.openxmlformats-officedocument.spreadsheetml.worksheet+xml">
        <DigestMethod Algorithm="http://www.w3.org/2000/09/xmldsig#sha1"/>
        <DigestValue>yb4MQGQXgBbaHqteXxS1IEYhM3Q=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JRR9z9cNt/pv5sgGyCJ5rPJ+s3Y=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3OfQXoCJ/85L0GG3/twEcZHj79M=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YFcF+y73uedDArL4sJeYLlK8beA=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5Vbv0btHV2NXVVLtWtRzYgjOaBU=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OQS6/vihEf3Zq7q2C7hSm1SnPpY=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sa/2CbetYHfb6sx16++ElbM3hQs=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S4dROHh4domAi1wIR2Hi7qGrRys=</DigestValue>
      </Reference>
    </Manifest>
    <SignatureProperties>
      <SignatureProperty Id="idSignatureTime" Target="#idPackageSignature">
        <mdssi:SignatureTime>
          <mdssi:Format>YYYY-MM-DDThh:mm:ssTZD</mdssi:Format>
          <mdssi:Value>2024-07-25T10:51:07Z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2024-07-25T10:51:07Z</xd:SigningTime>
          <xd:SigningCertificate>
            <xd:Cert>
              <xd:CertDigest>
                <DigestMethod Algorithm="http://www.w3.org/2000/09/xmldsig#sha1"/>
                <DigestValue>1jCLefaJOSlAB7FFQ5XA1JL312U=</DigestValue>
              </xd:CertDigest>
              <xd:IssuerSerial>
                <X509IssuerName>CN=AC LINK RFB v2, OU=Secretaria da Receita Federal do Brasil - RFB, O=ICP-Brasil, C=BR</X509IssuerName>
                <X509SerialNumber>5177229173157274973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c4PNvdVA7J7j3Uk5nBtG4Ex0RmJ5kPb+UGzZhB9F+Uo=</DigestValue>
    </Reference>
    <Reference Type="http://www.w3.org/2000/09/xmldsig#Object" URI="#idOfficeObject">
      <DigestMethod Algorithm="http://www.w3.org/2001/04/xmlenc#sha256"/>
      <DigestValue>DdrrxMFRUVwgru8y+MV17PaYlQhR2WqRrt2IeImTXTs=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yCC1X8miqERyjg+W8QvBkDS9xNWXyD7eRct6VWTzvLk=</DigestValue>
    </Reference>
  </SignedInfo>
  <SignatureValue>vyBVLu2pWFPKfpF68XlZIaGqCLjrc8+IiJ/GgAu1YjzmZhN7HrrJddoa7/J+CWYfGzxxqu5DUtKS
qnON+5Lm85qHkGGE6tHkKtOYT3eZPWUcrZThEceO+P0TYTSYU0RZYeiwlkc49Q22tct5+ZzRhrs7
rE723AiBFSLaIQiajDJlqV3lo6EaICTvpNoIixJ+XJ1XnAuXEsHOTZxoPPPuc8EEacOsMWWZ7rvc
d8b9r0TdQ0YVf3K8oo7J01yu0+sQDuBfgN13lY9Hbowbp4RtBq/+kDGdfPq/g7+5XUzlUD9ZNEGo
C/r1Z0Z10/Ur9Bw3RUVqocvB7HvFOwIb+NbSfw==</SignatureValue>
  <KeyInfo>
    <X509Data>
      <X509Certificate>MIIHiTCCBXGgAwIBAgIIeVC/AiB8LakwDQYJKoZIhvcNAQELBQAwczELMAkGA1UEBhMCQlIxEzARBgNVBAoTCklDUC1CcmFzaWwxNjA0BgNVBAsTLVNlY3JldGFyaWEgZGEgUmVjZWl0YSBGZWRlcmFsIGRvIEJyYXNpbCAtIFJGQjEXMBUGA1UEAxMOQUMgTElOSyBSRkIgdjIwHhcNMjEwMTA1MTQxNTAwWhcNMjYwMTA1MTQxNTAwWjCB4DELMAkGA1UEBhMCQlIxEzARBgNVBAoTCklDUC1CcmFzaWwxFzAVBgNVBAsTDjE3MDI0NzYzMDAwMTc1MTYwNAYDVQQLEy1TZWNyZXRhcmlhIGRhIFJlY2VpdGEgRmVkZXJhbCBkbyBCcmFzaWwgLSBSRkIxFTATBgNVBAsTDFJGQiBlLUNQRiBBMzEUMBIGA1UECxMLKEVNIEJSQU5DTykxEzARBgNVBAsTCnByZXNlbmNpYWwxKTAnBgNVBAMTIEZSRURTT04gTE9QRVMgRlJBTkNBOjE5OTU3NjcyODAwMIIBIjANBgkqhkiG9w0BAQEFAAOCAQ8AMIIBCgKCAQEAwJ512hDzEryPY8oks2osTuigMEPt0n3fiSJdqOwAFQStUZ+p8ZEB140EgAJ11aLn+fp2shQLU0kU/6it7zXxsnGXOEsEo2E6b1L9C0X9LJI1Ay1x/Btr0EhgS1jWdJ7JYYNP5679Wcr9H0KN305AVCw/2xa6DdCpPRC26YvYjsa83ZTvHnMLb3gfuc6s/4IvqySJWQ1UQnau6U4iyI4XIfMQ80E6sHWzuBPHQwvAMR4DAj44xVyC46ADLXoUbgFVt3Qx6wJl7TvrGbNOV89LLMc3OuVHso85p2IE2GMAt9/pWk23zsmj992QgZyUAoZT+kTaP9yIdeMfpVGqEGwq6QIDAQABo4ICsTCCAq0wHwYDVR0jBBgwFoAUDd/WR/QTTuUiWDIsZqbnLuRXvAIwDgYDVR0PAQH/BAQDAgXgMG4GA1UdIARnMGUwYwYGYEwBAgM4MFkwVwYIKwYBBQUHAgEWS2h0dHA6Ly9yZXBvc2l0b3Jpby5saW5rY2VydGlmaWNhY2FvLmNvbS5ici9hYy1saW5rcmZiL2FjLWxpbmstcmZiLXBjLWEzLnBkZjCBsAYDVR0fBIGoMIGlMFCgTqBMhkpodHRwOi8vcmVwb3NpdG9yaW8ubGlua2NlcnRpZmljYWNhby5jb20uYnIvYWMtbGlua3JmYi9sY3ItYWMtbGlua3JmYnY1LmNybDBRoE+gTYZLaHR0cDovL3JlcG9zaXRvcmlvMi5saW5rY2VydGlmaWNhY2FvLmNvbS5ici9hYy1saW5rcmZiL2xjci1hYy1saW5rcmZidjUuY3JsMIGVBggrBgEFBQcBAQSBiDCBhTBSBggrBgEFBQcwAoZGaHR0cDovL3JlcG9zaXRvcmlvLmxpbmtjZXJ0aWZpY2FjYW8uY29tLmJyL2FjLWxpbmtyZmIvYWMtbGlua3JmYnY1LnA3YjAvBggrBgEFBQcwAYYjaHR0cDovL29jc3AubGlua2NlcnRpZmljYWNhby5jb20uYnIwgZQGA1UdEQSBjDCBiYEURlJBTkNBRlJFREBHTUFJTC5DT02gOAYFYEwBAwGgLxMtMTEwOTE5NjcxOTk1NzY3MjgwMDAwMDAwMDAwMDAwMDAwMDAwMDAwMDAwMDAwoB4GBWBMAQMFoBUTEzAwMDAwMDAwMDAwMDAwMDAwMDCgFwYFYEwBAwagDhMMNTEyMzY2MDIyMjgyMB0GA1UdJQQWMBQGCCsGAQUFBwMCBggrBgEFBQcDBDAJBgNVHRMEAjAAMA0GCSqGSIb3DQEBCwUAA4ICAQBXjFFAbSpaHTvmaZr2ln6Hd8glj5MKB0+GxwXwIGrEy5SchVVixix0hQ+9E81WYnA6aFRESB/E4BbU4BENclN9qgHt0db/SzuHHydUHChgUpii5QZH3P+GXD1SfZymnFChCvEopLKFB7ekhQvukvjnxIeTNvF4LOEGnEjMcqIzPdn5c1Qp3pMdCo858icQ+UqokAFcq+JymMytddXz0aAN1qkbneVlymFnEbc+Ir+JX7UiFw3HL0Tl/3HS9+HgcHhFNkiTrFAvL6/Y+xO7mYnh6XZ6QYI9vpJ0s/WDXZDr0uwvSGaHE6sWzWgMrhXdHKZELdz0citdrJ7n+RqiCmREZkOvv11KgPUex6wCnytSUgq2Ia2hLNJRO6wjrRoa/g2tNGk23zUASF5u0h/9y+VFemH7m7L7JSN6Rn3YbyVPCzMtpX+WzgszTHHpoIX4mynA54IJkKWde5zavsEj6fmA1c+K9MfpLfQnBb8t5v3mp4PfnzyP1k0xxyCYv+9R5bc1uupD2tdITHQOCb/7/h/LoforLHH/f4JvJZ5NY7STefOQ0SVLa8xgryK+eTCGgG4Pw5j+ho59Kp5INSVsvxn8N0UdKGAdLAzPr5/L8vzXQcnUMnCj9B0BHrRIjd5zWDoofsB5LB/PGR/s2QMmRLdoTveNsJTaXkXXItGvGqc1X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UD8oh4TmdzPi6xtycl+iPE/qMZm5vpcWrLmpOO978j4=</DigestValue>
      </Reference>
      <Reference URI="/xl/comments1.xml?ContentType=application/vnd.openxmlformats-officedocument.spreadsheetml.comments+xml">
        <DigestMethod Algorithm="http://www.w3.org/2001/04/xmlenc#sha256"/>
        <DigestValue>zK9Bsmv+xyVjOZmd3vQN+2aNyWCgCXd0qgq2jEcrhx8=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8j3pe7mg3Uo1mW+UclCsYddhSA0wJ4miKmFAFXMAroY=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TERNOYRzmO7mtstdV/uJBZdqSfGYm9HkBE6IN4hilnU=</DigestValue>
      </Reference>
      <Reference URI="/xl/drawings/drawing2.xml?ContentType=application/vnd.openxmlformats-officedocument.drawing+xml">
        <DigestMethod Algorithm="http://www.w3.org/2001/04/xmlenc#sha256"/>
        <DigestValue>12c2BA8Io3rQlPb0Jn3LTZS0SnL2lHqeUUL9A0AR2rI=</DigestValue>
      </Reference>
      <Reference URI="/xl/drawings/drawing3.xml?ContentType=application/vnd.openxmlformats-officedocument.drawing+xml">
        <DigestMethod Algorithm="http://www.w3.org/2001/04/xmlenc#sha256"/>
        <DigestValue>5pJEymnEzgOVm260BU2OayvR/KdEeRUko+872a5pLbU=</DigestValue>
      </Reference>
      <Reference URI="/xl/drawings/drawing4.xml?ContentType=application/vnd.openxmlformats-officedocument.drawing+xml">
        <DigestMethod Algorithm="http://www.w3.org/2001/04/xmlenc#sha256"/>
        <DigestValue>H4+BmBo9nFH0/O2A9RRWyITp1xPbtyZwuA6lkR+9mhY=</DigestValue>
      </Reference>
      <Reference URI="/xl/drawings/vmlDrawing1.vml?ContentType=application/vnd.openxmlformats-officedocument.vmlDrawing">
        <DigestMethod Algorithm="http://www.w3.org/2001/04/xmlenc#sha256"/>
        <DigestValue>v75fgm0ahKYXi8eZwg2kZfEzyTh6p+hCwsp+oQkheCs=</DigestValue>
      </Reference>
      <Reference URI="/xl/drawings/vmlDrawing2.vml?ContentType=application/vnd.openxmlformats-officedocument.vmlDrawing">
        <DigestMethod Algorithm="http://www.w3.org/2001/04/xmlenc#sha256"/>
        <DigestValue>vsWmiP2asrWvM1hrge1l0YnlTYUj+U32SkVY+c97r1M=</DigestValue>
      </Reference>
      <Reference URI="/xl/embeddings/oleObject1.bin?ContentType=application/vnd.openxmlformats-officedocument.oleObject">
        <DigestMethod Algorithm="http://www.w3.org/2001/04/xmlenc#sha256"/>
        <DigestValue>kLF32AKfxSLj1JcFZTmS8rk2FZhUAwVNeJvFusmAUNg=</DigestValue>
      </Reference>
      <Reference URI="/xl/media/image1.emf?ContentType=image/x-emf">
        <DigestMethod Algorithm="http://www.w3.org/2001/04/xmlenc#sha256"/>
        <DigestValue>4chNOGXgZh9ph+ql1o17cWsBFndu38Se4ENnTYB8Yac=</DigestValue>
      </Reference>
      <Reference URI="/xl/media/image2.png?ContentType=image/png">
        <DigestMethod Algorithm="http://www.w3.org/2001/04/xmlenc#sha256"/>
        <DigestValue>Aw61Mh6AcFVcv2pEra8jjrMta64DNw7vdHHh+ZrJUXk=</DigestValue>
      </Reference>
      <Reference URI="/xl/media/image3.png?ContentType=image/png">
        <DigestMethod Algorithm="http://www.w3.org/2001/04/xmlenc#sha256"/>
        <DigestValue>NQ2rrT1bajkmlEESXAbmO5zkyiz3Z9vrHXorq/R30nQ=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TaA6KX/SRWPpmiasS8KGCRFI/mFTpQlGqiM07LbibG8=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TaA6KX/SRWPpmiasS8KGCRFI/mFTpQlGqiM07LbibG8=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TaA6KX/SRWPpmiasS8KGCRFI/mFTpQlGqiM07LbibG8=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HpRm5jpPeciNm4YNe4Q+E7bkGRi4Yi0V9WjxfNZ7x+w=</DigestValue>
      </Reference>
      <Reference URI="/xl/sharedStrings.xml?ContentType=application/vnd.openxmlformats-officedocument.spreadsheetml.sharedStrings+xml">
        <DigestMethod Algorithm="http://www.w3.org/2001/04/xmlenc#sha256"/>
        <DigestValue>rh28/64al+oFjUiPVW2DrSOcjy3qqstMH2WMBpuHk18=</DigestValue>
      </Reference>
      <Reference URI="/xl/styles.xml?ContentType=application/vnd.openxmlformats-officedocument.spreadsheetml.styles+xml">
        <DigestMethod Algorithm="http://www.w3.org/2001/04/xmlenc#sha256"/>
        <DigestValue>gbubeXAMJQ6r4Ena3bVNQPldi8sf5/IUhj7j1VWu/es=</DigestValue>
      </Reference>
      <Reference URI="/xl/theme/theme1.xml?ContentType=application/vnd.openxmlformats-officedocument.theme+xml">
        <DigestMethod Algorithm="http://www.w3.org/2001/04/xmlenc#sha256"/>
        <DigestValue>hGsc6GiP82WUmHxec+DjDKMvgWq8yAdLbLyKU4kaW2U=</DigestValue>
      </Reference>
      <Reference URI="/xl/workbook.xml?ContentType=application/vnd.openxmlformats-officedocument.spreadsheetml.sheet.main+xml">
        <DigestMethod Algorithm="http://www.w3.org/2001/04/xmlenc#sha256"/>
        <DigestValue>rEBOpirFnO81UGc84ZlqPGRdZkidf7O6PbNo7LoPDBI=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FxaaduZWGnhCekw+i+JnitqNSkf2oEkLXYKB4Ngk5S0=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Tli28rN8igOjzPasqezpYxpfwxhNMdfjzhfnghEdtVc=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iCVOH+dXPW5Yow03OFzE3KFxd7gLMdb90NF1eBlmABk=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4N5VJUYUiQE50Px6BHAtH+Ub3QsrIt/FKoM1NcrDGa0=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sJOCevBbNP5NPKJnKHU20S1aICr1WIvn1EB8nnxHx6E=</DigestValue>
      </Reference>
      <Reference URI="/xl/worksheets/sheet2.xml?ContentType=application/vnd.openxmlformats-officedocument.spreadsheetml.worksheet+xml">
        <DigestMethod Algorithm="http://www.w3.org/2001/04/xmlenc#sha256"/>
        <DigestValue>fyoBhEV2BUeA2j3xgVwHBOXvwl1RJDL3uMz+HbWR2K0=</DigestValue>
      </Reference>
      <Reference URI="/xl/worksheets/sheet3.xml?ContentType=application/vnd.openxmlformats-officedocument.spreadsheetml.worksheet+xml">
        <DigestMethod Algorithm="http://www.w3.org/2001/04/xmlenc#sha256"/>
        <DigestValue>WHzmFRXsodgjufPy6x9DorcRlHvRka8c+LmOt4oju48=</DigestValue>
      </Reference>
      <Reference URI="/xl/worksheets/sheet4.xml?ContentType=application/vnd.openxmlformats-officedocument.spreadsheetml.worksheet+xml">
        <DigestMethod Algorithm="http://www.w3.org/2001/04/xmlenc#sha256"/>
        <DigestValue>zR+f6bsvEDtyLLZyzpz6EIVt1QUtfkYisxrgL1sTPy0=</DigestValue>
      </Reference>
      <Reference URI="/xl/worksheets/sheet5.xml?ContentType=application/vnd.openxmlformats-officedocument.spreadsheetml.worksheet+xml">
        <DigestMethod Algorithm="http://www.w3.org/2001/04/xmlenc#sha256"/>
        <DigestValue>Odvy/eCwq03Lbilp9ie9csI6KEnN4eADqH9JMnhb2fs=</DigestValue>
      </Reference>
      <Reference URI="/xl/worksheets/sheet6.xml?ContentType=application/vnd.openxmlformats-officedocument.spreadsheetml.worksheet+xml">
        <DigestMethod Algorithm="http://www.w3.org/2001/04/xmlenc#sha256"/>
        <DigestValue>r++C4ufPTzIHhPurYmSfKaRxwmK7sGdl6b3kwFd9Ufc=</DigestValue>
      </Reference>
      <Reference URI="/xl/worksheets/sheet7.xml?ContentType=application/vnd.openxmlformats-officedocument.spreadsheetml.worksheet+xml">
        <DigestMethod Algorithm="http://www.w3.org/2001/04/xmlenc#sha256"/>
        <DigestValue>UMrozWa8tWOHvIPwc4l/V506gL4nK7TTYCza8BwvFvs=</DigestValue>
      </Reference>
      <Reference URI="/xl/worksheets/sheet8.xml?ContentType=application/vnd.openxmlformats-officedocument.spreadsheetml.worksheet+xml">
        <DigestMethod Algorithm="http://www.w3.org/2001/04/xmlenc#sha256"/>
        <DigestValue>w2gVFxq14dgJKnDs2itbEVa9E5LV5yRdpen72RbX/zA=</DigestValue>
      </Reference>
      <Reference URI="/xl/worksheets/sheet9.xml?ContentType=application/vnd.openxmlformats-officedocument.spreadsheetml.worksheet+xml">
        <DigestMethod Algorithm="http://www.w3.org/2001/04/xmlenc#sha256"/>
        <DigestValue>RHE8m89QeVZt5EqzkVyvSXO8viSnAuZf+PnSKPBYo8U=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2024-07-25T11:23:30Z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16.0.17726/26</OfficeVersion>
          <ApplicationVersion>16.0.17726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2024-07-25T11:23:30Z</xd:SigningTime>
          <xd:SigningCertificate>
            <xd:Cert>
              <xd:CertDigest>
                <DigestMethod Algorithm="http://www.w3.org/2001/04/xmlenc#sha256"/>
                <DigestValue>Hk5aEr1ZKq5z9iecfFv9445FF8P8+cD1NBxPjnZMPu4=</DigestValue>
              </xd:CertDigest>
              <xd:IssuerSerial>
                <X509IssuerName>CN=AC LINK RFB v2, OU=Secretaria da Receita Federal do Brasil - RFB, O=ICP-Brasil, C=BR</X509IssuerName>
                <X509SerialNumber>8741696892581981609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1jCCBL6gAwIBAgIBFjANBgkqhkiG9w0BAQ0FADCBkDELMAkGA1UEBhMCQlIxEzARBgNVBAoMCklDUC1CcmFzaWwxNDAyBgNVBAsMK0F1dG9yaWRhZGUgQ2VydGlmaWNhZG9yYSBSYWl6IEJyYXNpbGVpcmEgdjUxNjA0BgNVBAMMLUFDIFNlY3JldGFyaWEgZGEgUmVjZWl0YSBGZWRlcmFsIGRvIEJyYXNpbCB2NDAeFw0xODAyMjcxMzQyNDBaFw0yOTAyMjAxMjAwMDRaMHMxCzAJBgNVBAYTAkJSMRMwEQYDVQQKEwpJQ1AtQnJhc2lsMTYwNAYDVQQLEy1TZWNyZXRhcmlhIGRhIFJlY2VpdGEgRmVkZXJhbCBkbyBCcmFzaWwgLSBSRkIxFzAVBgNVBAMTDkFDIExJTksgUkZCIHYyMIICIjANBgkqhkiG9w0BAQEFAAOCAg8AMIICCgKCAgEAiSglOWWKSbm3JTm+yZ1EioJ6gfv1IJvafMW5fM9Xj/3KL1v+hEgAY9a2h8K1KXZJ3Vtt+7V4Tx44Dwtdp7Pkr5FQUo4yFhnruYfu4gQFW5xr8E1soJr13hbE7oElWujsaVPXlv7GAhxHKuFyPhyRmHMhsb/JrOmb/+4vOE/3P9OOEGgr/vZ7cv3nKvMEqhOh21W/7/f8Wk93IPSgs59GLVecr+Cmc0yu3fYmxhrf2LqNhru5QoeL4QNjlXQjWPdgVf9QbEU1SwO90fOybPvcziLQIv6jdyRjPJofdKbhsgEvaA+CAPme/WMkBo9AZ+kDN4I1Lyx5d+m6kkGiAOCluHsL6xhV45xzvnjNd9n3EJxDd6ms4py0a5ynVvkaVBCvfnQw46AVjMdIW4HUA0YS7CMSZUe8jY7jthz76cCBwrAjFIuj5Zt1MWQju+LeDA9Mg3kQxOcE9rD26FpJknBmTiMcSZPBqP4d8TsOqcTuEIWxRlusKf1d97daggPsmgY4NtnUyNF+OZKdWCWLLoF1ofjVRPmjRKIfoiurJGd8FvXiK1gS/kUeOaU0Z9gsv/PboF2lU0OoXeRPDQSLxH/aRLevtRJGy1Y/v4loOKhfh29yZrZp6qswRPAfuAMxgTQqr/W78WKlcgboiCHSA/4QQpU3ph+iYJSrZJSCtx3WCaECAwEAAaOCAVUwggFRMIGnBgNVHSAEgZ8wgZwwTAYGYEwBAgE7MEIwQAYIKwYBBQUHAgEWNGh0dHA6Ly93d3cucmVjZWl0YS5mYXplbmRhLmdvdi5ici9hY3JmYi9kcGNhY3JmYi5wZGYwTAYGYEwBAgM4MEIwQAYIKwYBBQUHAgEWNGh0dHA6Ly93d3cucmVjZWl0YS5mYXplbmRhLmdvdi5ici9hY3JmYi9kcGNhY3JmYi5wZGYwRAYDVR0fBD0wOzA5oDegNYYzaHR0cDovL3d3dy5yZWNlaXRhLmZhemVuZGEuZ292LmJyL2FjcmZiL2FjcmZidjQuY3JsMB8GA1UdIwQYMBaAFBqY5kPKHN2SnpljRVoq6R+HIM01MB0GA1UdDgQWBBQN39ZH9BNO5SJYMixmpucu5Fe8AjAPBgNVHRMBAf8EBTADAQH/MA4GA1UdDwEB/wQEAwIBBjANBgkqhkiG9w0BAQ0FAAOCAgEAQa/CcUbwxj7LFydJBwLGPvn3bXmgoqIADDSra8PZoklFhjazOkhn6qnMR+8K2piYxN0c7A9YZvAeFt0Y1eSSkCbvQxhFgv97i2C/MZpsjXR+WbNhq11eUwGbAMe/4QE5KbQXzJ2L5Htrvg+GCp4+dtjUIWoVgadJwThE1XdaFlYoMRY+ARmZt/+BYr3kfd9WTt32cevUD05rh/1AgWLQwE3drBhehCg5ApLP1UHVkjU4tM4bUa+J0vwbgodnSKJoVCZQnev6g+tjjZxGQOD3hpG4DiOIDa4lhDuqv7A9yLmpeolTY000WPbnMY3EccwxrqPavmt41tIAKy5jIDRID8o8nRurWbsX509YV05M9vmHbSwBSC2qg6nIOSyWUywl+lyhmw1Hgis3ZSLLHSzM+P0IPOeWNaDv1b4oxQrn+Xd2gw8BVrAri4P6Lp/RiCfVEPqXHRZXFg9WXIq6ggftMoRMZysKrMpQtFhrZ6YvKF1qyh66IveBX1iLcz671HBcHO3LYp/uS0RWJJxDlzIxnQBY3a0UnoAKg4eleQPxIbcM8lLFgj0k3vPgjfhGsScwBqfMWo3XjBo2HTvmXaN/Myo0aWBp9SWfxtZofXwGp9GsuZnQp/yXd1TDvZHAILhkJQIoPw0NP1QukpnaoUqSO4LVGpJEiMRrDsNXnMj2Yjk=</xd:EncapsulatedX509Certificate>
            <xd:EncapsulatedX509Certificate>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/csX2yNEOVJjr/SeuSv5bE0gIc/kUjoYVNMuUe+CTBY/gkoIiwR7qr7Dsp9jn8FTLnALrn6j1sbbkoD4ytTI3WHUuiefz/oApv+H5zPswj3JqUyXaK7bzN5Akc3PNFUzRb3+UbtYA2fXinBAewxrpZidGX0A+ioC++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+UFag+ypZhyk8voAaXQjw3qGubWI68jFNZTrNXjQThIlJWI83OWjcvmIr4SPgbf9hIIHzznSdzqPXXdAZRNS9fxrxmgoTcG4I7cu1hZgBv9HHIaUKr2MwXAdNiqoe71wDkLCKUx8/fVJnhswqHBHYAj+KjBwyoJW1JliL91QOT3Bjz2epj7kj7tAgMBAAGjgbswgbgwHQYDVR0OBBYEFBqY5kPKHN2SnpljRVoq6R+HIM01MA8GA1UdEwEB/wQFMAMBAf8wDgYDVR0PAQH/BAQDAgEGMBQGA1UdIAQNMAswCQYFYEwBAQgwADA/BgNVHR8EODA2MDSgMqAwhi5odHRwOi8vYWNyYWl6LmljcGJyYXNpbC5nb3YuYnIvTENSYWNyYWl6djUuY3JsMB8GA1UdIwQYMBaAFGmovnXZxO9s5xNF5GFu5Wj4tkBeMA0GCSqGSIb3DQEBDQUAA4ICAQBrQuAL6TWbdnOpHbgSzAd9Pkc+vr5uTd7ml4xfPPs/I+BNCGT9Q6OTx/26m6q9rOrl6/9AASYDE5esiwBlaQ4OPzQQ37zrf5d4FnGxnsRMdjEL2pjks7ull66LZX8k5HOfnxy5iYo1hTy46UYg28PXdL55qTljilj4LueNFlTCmK2m9Vo1E6F/Ss79D31uwVBadgoK/i95dFONNlSj/w3/sa9Pbkq3JCJ10ET01GmBSTrtired+zzcj26QT0hjQQ5PUB6wV2+bhUx+WN/rXiLph/DPvy7gg8hrn4mVHBYOEPPoq7qBsX77cswycENKXrlq+gHA2Lj8hkrbfQt4pZQzT+6nLOSOyqMI21ql781eErJySwJ0R9LdPQNm3MUS/ifoRPdjFGWUktBRue/03QrVYtwFBMaIjF/p93Bmb/42xfkL/TG/W6EicBcGLms2SU4pBtw+NDFMQ1YXxNJQoNJ2uzxnzBSqdr5bF5qZth4EHob+I8uUFYylIoCHWvMD1pAxTu8fC9366lkt7cpBARiOdB2MN31JQK3nxjeQeXHiudm8twSzNp0wbJViUiRfNZbqH3yNe8ZTYUQds7hCCcZh3pZbe4PNWS2WDiifF9uXRdfAL3qsEubQOrA/s+EvZha6afCs4d4BlGKQsf64r0iPnX6hFxR4h4sXRI9x5xRMtA==</xd:EncapsulatedX509Certificate>
            <xd:EncapsulatedX509Certificate>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+gUXw/6YODeF2XkqEyfk3VehdsIx+3/ERgdjCS/ouxYR0Epi2hdoMUVJDNf3XQfjAWXJyCoTneHYAl2McMdvoqtLB2ileQlJiis0fTtYTJayee9BAIdIrCor1Lc0vozXCpDtq5nTwhjIocaZtcuFsdrkl+nbfYxl5m7vjTkTMS6j8ffjmFzbNPDlJuV3Vy7AzapPVJrMl6UHPXCHMYMzl0KxR/47S5XGgmLYkYt8bNCHA3fg07y+Gtvgu+SNhMPwWKIgwhYw+9vErOnavRhOimYo4M2AwNpNK0OKLI7Im5V094jFp4Ty+mlmfQH00k8nkSUEN+1TGGkhv16c2hukbx9iCfbmk7im2hGKjQA8eH64VPYoS2qdKbPbd3xDDHN2croYKpy2U2oQTVBSf9hC3o6fKo3zp0U3dNiw7ZgWKS9UwP31Q0gwgB1orZgLuF+LIppHYwxcTG/AovNWa4sTPukMiX2L+p7uIHExTZJJU4YoDacQh/mfbPIz3261He4YFmQ35sfw3eKHQSOLyiVfev/n0l/r308PijEd+d+Hz5RmqIzS8jYXZIeJxym4mEjE1fKpeP56Ea52LlIJ8ZqsJ3xzHWu3WkAVz4hMqrX6BPMGW2IxOuEUQyIaCBg1lI6QLiPMHvo2/J7gu4YfqRcH6i27W3HyzamEQIDAQABo4H1MIHyME4GA1UdIARHMEUwQwYFYEwBAQAwOjA4BggrBgEFBQcCARYsaHR0cDovL2FjcmFpei5pY3BicmFzaWwuZ292LmJyL0RQQ2FjcmFpei5wZGYwPwYDVR0fBDgwNjA0oDKgMIYuaHR0cDovL2FjcmFpei5pY3BicmFzaWwuZ292LmJyL0xDUmFjcmFpenY1LmNybDAfBgNVHSMEGDAWgBRpqL512cTvbOcTReRhbuVo+LZAXjAdBgNVHQ4EFgQUaai+ddnE72znE0XkYW7laPi2QF4wDwYDVR0TAQH/BAUwAwEB/zAOBgNVHQ8BAf8EBAMCAQYwDQYJKoZIhvcNAQENBQADggIBABRt2/JiWapef7o/plhR4PxymlMIp/JeZ5F0BZ1XafmYpl5g6pRokFrIRMFXLyEhlgo51I05InyCc9Td6UXjlsOASTc/LRavyjB/8NcQjlRYDh6xf7OdP05mFcT/0+6bYRtNgsnUbr10pfsK/UzyUvQWbumGS57hCZrAZOyd9MzukiF/azAa6JfoZk2nDkEudKOY8tRyTpMmDzN5fufPSC3v7tSJUqTqo5z7roN/FmckRzGAYyz5XulbOc5/UsAT/tk+KP/clbbqd/hhevmmdJclLr9qWZZcOgzuFU2YsgProtVu0fFNXGr6KK9fu44pOHajmMsTXK3X7r/Pwh19kFRow5F3RQMUZC6Re0YLfXh+ypnUSCzA+uL4JPtHIGyvkbWiulkustpOKUSVwBPzvA2sQUOvqdbAR7C8jcHYFJMuK2HZFji7pxcWWab/NKsFcJ3sluDjmhizpQaxbYTfAVXu3q8yd0su/BHHhBpteyHvYyyz0Eb9LUysR2cMtWvfPU6vnoPgYvOGO1CziyGEsgKULkCH4o2Vgl1gQuKWO4V68rFW8a/jvq28sbY+y/Ao0I5ohpnBcQOAawiFbz6yJtObajYMuztDDP8oY656EuuJXBJhuKAJPI/7WDtgfV8ffOh/iQGQATVMtgDN0gv8bn5NdUX8UMNX1sHhU3H1UpoW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10</vt:i4>
      </vt:variant>
    </vt:vector>
  </HeadingPairs>
  <TitlesOfParts>
    <vt:vector size="19" baseType="lpstr">
      <vt:lpstr>Relatório de Compatibilidade</vt:lpstr>
      <vt:lpstr>BDI LICITAÇÃO</vt:lpstr>
      <vt:lpstr>PLANILHA LICITAÇÃO</vt:lpstr>
      <vt:lpstr>PLANILHA OFICIAL </vt:lpstr>
      <vt:lpstr>EXPRESSÃO MATEMÁTICA CALC ITENS</vt:lpstr>
      <vt:lpstr>MEMÓRIA DE CÁLCULO</vt:lpstr>
      <vt:lpstr>CRONOGRAMA FÍSICO -  FINANCEIRO</vt:lpstr>
      <vt:lpstr>BDI</vt:lpstr>
      <vt:lpstr>CRONOGRAMA - JANUÁRIA</vt:lpstr>
      <vt:lpstr>BDI!Area_de_impressao</vt:lpstr>
      <vt:lpstr>'CRONOGRAMA FÍSICO -  FINANCEIRO'!Area_de_impressao</vt:lpstr>
      <vt:lpstr>'EXPRESSÃO MATEMÁTICA CALC ITENS'!Area_de_impressao</vt:lpstr>
      <vt:lpstr>'MEMÓRIA DE CÁLCULO'!Area_de_impressao</vt:lpstr>
      <vt:lpstr>'PLANILHA LICITAÇÃO'!Area_de_impressao</vt:lpstr>
      <vt:lpstr>'PLANILHA OFICIAL '!Area_de_impressao</vt:lpstr>
      <vt:lpstr>'CRONOGRAMA - JANUÁRIA'!Titulos_de_impressao</vt:lpstr>
      <vt:lpstr>'EXPRESSÃO MATEMÁTICA CALC ITENS'!Titulos_de_impressao</vt:lpstr>
      <vt:lpstr>'MEMÓRIA DE CÁLCULO'!Titulos_de_impressao</vt:lpstr>
      <vt:lpstr>'PLANILHA OFICIAL '!Titulos_de_impressao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SECOBRAS</cp:lastModifiedBy>
  <cp:lastPrinted>2024-07-24T17:45:23Z</cp:lastPrinted>
  <dcterms:created xsi:type="dcterms:W3CDTF">2011-06-14T19:45:38Z</dcterms:created>
  <dcterms:modified xsi:type="dcterms:W3CDTF">2024-07-24T17:51:16Z</dcterms:modified>
</cp:coreProperties>
</file>